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ohar20\Downloads\"/>
    </mc:Choice>
  </mc:AlternateContent>
  <xr:revisionPtr revIDLastSave="0" documentId="13_ncr:1_{C683E78D-4C9C-4637-B0CE-341477379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ening" sheetId="28" r:id="rId1"/>
    <sheet name="Highlights" sheetId="52" r:id="rId2"/>
    <sheet name="P&amp;L" sheetId="33" r:id="rId3"/>
    <sheet name="Cash Flow" sheetId="64" r:id="rId4"/>
    <sheet name="KPI" sheetId="57" r:id="rId5"/>
    <sheet name="Sales" sheetId="62" r:id="rId6"/>
    <sheet name="Payroll" sheetId="48" r:id="rId7"/>
    <sheet name="Overhead" sheetId="63" r:id="rId8"/>
    <sheet name="Sales &amp; Marketing" sheetId="3" r:id="rId9"/>
    <sheet name="Sales." sheetId="61" state="hidden" r:id="rId10"/>
    <sheet name="Sales summary" sheetId="47" state="hidden" r:id="rId11"/>
    <sheet name="Sales 2015" sheetId="30" state="hidden" r:id="rId12"/>
    <sheet name="Affiliate-Marketing  Plan-Juan" sheetId="17" state="hidden" r:id="rId13"/>
    <sheet name="Overhead CY" sheetId="36" state="hidden" r:id="rId14"/>
    <sheet name="HR Year 2" sheetId="49" state="hidden" r:id="rId15"/>
    <sheet name="Insurance" sheetId="56" state="hidden" r:id="rId16"/>
    <sheet name="Parameters" sheetId="13" r:id="rId17"/>
    <sheet name="CashFlow" sheetId="27" state="hidden" r:id="rId18"/>
    <sheet name="Detailed Sales 2012old" sheetId="7" state="hidden" r:id="rId19"/>
    <sheet name="Detailed Sales 2011" sheetId="5" state="hidden" r:id="rId20"/>
    <sheet name="Detailed Sales 2013" sheetId="8" state="hidden" r:id="rId21"/>
    <sheet name="HR2011" sheetId="9" state="hidden" r:id="rId22"/>
    <sheet name="HR2013" sheetId="12" state="hidden" r:id="rId23"/>
  </sheets>
  <externalReferences>
    <externalReference r:id="rId24"/>
    <externalReference r:id="rId25"/>
    <externalReference r:id="rId26"/>
  </externalReferences>
  <definedNames>
    <definedName name="_xlnm._FilterDatabase" localSheetId="14" hidden="1">'HR Year 2'!#REF!</definedName>
    <definedName name="_xlnm._FilterDatabase" localSheetId="6" hidden="1">Payroll!$B$5:$S$26</definedName>
    <definedName name="_MxpDBData_">[1]גיליון1!$A$1:$AI$93</definedName>
    <definedName name="Actual" localSheetId="3">#REF!</definedName>
    <definedName name="Actual" localSheetId="14">#REF!</definedName>
    <definedName name="Actual" localSheetId="7">#REF!</definedName>
    <definedName name="Actual" localSheetId="13">#REF!</definedName>
    <definedName name="Actual" localSheetId="2">#REF!</definedName>
    <definedName name="Actual">#REF!</definedName>
    <definedName name="Actual2" localSheetId="3">#REF!</definedName>
    <definedName name="Actual2" localSheetId="14">#REF!</definedName>
    <definedName name="Actual2" localSheetId="7">#REF!</definedName>
    <definedName name="Actual2">#REF!</definedName>
    <definedName name="ActualDiduction" localSheetId="3">#REF!</definedName>
    <definedName name="ActualDiduction" localSheetId="14">#REF!</definedName>
    <definedName name="ActualDiduction" localSheetId="7">#REF!</definedName>
    <definedName name="ActualDiduction" localSheetId="13">#REF!</definedName>
    <definedName name="ActualDiduction" localSheetId="2">#REF!</definedName>
    <definedName name="ActualDiduction">#REF!</definedName>
    <definedName name="ALL_Actual_Vol" localSheetId="3">#REF!</definedName>
    <definedName name="ALL_Actual_Vol" localSheetId="14">#REF!</definedName>
    <definedName name="ALL_Actual_Vol" localSheetId="7">#REF!</definedName>
    <definedName name="ALL_Actual_Vol">#REF!</definedName>
    <definedName name="all_rev_wo_feed" localSheetId="3">#REF!</definedName>
    <definedName name="all_rev_wo_feed" localSheetId="14">#REF!</definedName>
    <definedName name="all_rev_wo_feed" localSheetId="7">#REF!</definedName>
    <definedName name="all_rev_wo_feed" localSheetId="13">'[2]Sales 12.11'!$AU$5:$AU$70</definedName>
    <definedName name="all_rev_wo_feed">#REF!</definedName>
    <definedName name="ALL_Virtual" localSheetId="3">#REF!</definedName>
    <definedName name="ALL_Virtual" localSheetId="14">#REF!</definedName>
    <definedName name="ALL_Virtual" localSheetId="7">#REF!</definedName>
    <definedName name="ALL_Virtual" localSheetId="13">'[2]Sales 12.11'!$AT$5:$AT$70</definedName>
    <definedName name="ALL_Virtual">#REF!</definedName>
    <definedName name="ALL_Virtual_Vol" localSheetId="3">#REF!</definedName>
    <definedName name="ALL_Virtual_Vol" localSheetId="14">#REF!</definedName>
    <definedName name="ALL_Virtual_Vol" localSheetId="7">#REF!</definedName>
    <definedName name="ALL_Virtual_Vol" localSheetId="13">'[2]Sales 12.11'!$AS$5:$AS$70</definedName>
    <definedName name="ALL_Virtual_Vol">#REF!</definedName>
    <definedName name="CalcDate" localSheetId="3">#REF!</definedName>
    <definedName name="CalcDate" localSheetId="14">#REF!</definedName>
    <definedName name="CalcDate" localSheetId="7">#REF!</definedName>
    <definedName name="CalcDate" localSheetId="13">#REF!</definedName>
    <definedName name="CalcDate" localSheetId="2">#REF!</definedName>
    <definedName name="CalcDate">#REF!</definedName>
    <definedName name="CurrentMinPrice" localSheetId="3">#REF!</definedName>
    <definedName name="CurrentMinPrice" localSheetId="14">#REF!</definedName>
    <definedName name="CurrentMinPrice" localSheetId="7">#REF!</definedName>
    <definedName name="CurrentMinPrice" localSheetId="13">#REF!</definedName>
    <definedName name="CurrentMinPrice" localSheetId="2">#REF!</definedName>
    <definedName name="CurrentMinPrice">#REF!</definedName>
    <definedName name="CurrentMonth" localSheetId="3">#REF!</definedName>
    <definedName name="CurrentMonth" localSheetId="14">#REF!</definedName>
    <definedName name="CurrentMonth" localSheetId="7">#REF!</definedName>
    <definedName name="CurrentMonth" localSheetId="13">#REF!</definedName>
    <definedName name="CurrentMonth" localSheetId="2">#REF!</definedName>
    <definedName name="CurrentMonth">#REF!</definedName>
    <definedName name="CustID" localSheetId="3">#REF!</definedName>
    <definedName name="CustID" localSheetId="14">#REF!</definedName>
    <definedName name="CustID" localSheetId="7">#REF!</definedName>
    <definedName name="CustID" localSheetId="13">#REF!</definedName>
    <definedName name="CustID" localSheetId="2">#REF!</definedName>
    <definedName name="CustID">#REF!</definedName>
    <definedName name="Customers" localSheetId="13">[3]CustomersConvert!$D:$F</definedName>
    <definedName name="Customers">[3]CustomersConvert!$D:$F</definedName>
    <definedName name="FromMonth" localSheetId="3">#REF!</definedName>
    <definedName name="FromMonth" localSheetId="14">#REF!</definedName>
    <definedName name="FromMonth" localSheetId="7">#REF!</definedName>
    <definedName name="FromMonth" localSheetId="13">#REF!</definedName>
    <definedName name="FromMonth" localSheetId="2">#REF!</definedName>
    <definedName name="FromMonth">#REF!</definedName>
    <definedName name="FromVol" localSheetId="13">[3]Virtual!$G:$G</definedName>
    <definedName name="FromVol">[3]Virtual!$G:$G</definedName>
    <definedName name="LunchDate" localSheetId="3">#REF!</definedName>
    <definedName name="LunchDate" localSheetId="14">#REF!</definedName>
    <definedName name="LunchDate" localSheetId="7">#REF!</definedName>
    <definedName name="LunchDate" localSheetId="13">#REF!</definedName>
    <definedName name="LunchDate" localSheetId="2">#REF!</definedName>
    <definedName name="LunchDate">#REF!</definedName>
    <definedName name="MinPrice" localSheetId="3">#REF!</definedName>
    <definedName name="MinPrice" localSheetId="14">#REF!</definedName>
    <definedName name="MinPrice" localSheetId="7">#REF!</definedName>
    <definedName name="MinPrice" localSheetId="13">#REF!</definedName>
    <definedName name="MinPrice" localSheetId="2">#REF!</definedName>
    <definedName name="MinPrice">#REF!</definedName>
    <definedName name="Price" localSheetId="13">[3]Virtual!$J:$J</definedName>
    <definedName name="Price">[3]Virtual!$J:$J</definedName>
    <definedName name="_xlnm.Print_Area" localSheetId="12">'Affiliate-Marketing  Plan-Juan'!$A$1:$O$56</definedName>
    <definedName name="_xlnm.Print_Area" localSheetId="17">CashFlow!$A$1:$H$45</definedName>
    <definedName name="_xlnm.Print_Area" localSheetId="18">'Detailed Sales 2012old'!$A$1:$P$29</definedName>
    <definedName name="_xlnm.Print_Area" localSheetId="1">Highlights!$A$1:$I$5</definedName>
    <definedName name="_xlnm.Print_Area" localSheetId="14">'HR Year 2'!$A$1:$Q$1</definedName>
    <definedName name="_xlnm.Print_Area" localSheetId="0">Opening!$A$1:$N$17</definedName>
    <definedName name="_xlnm.Print_Area" localSheetId="13">'Overhead CY'!$A$1:$L$54</definedName>
    <definedName name="_xlnm.Print_Area" localSheetId="2">'P&amp;L'!$A$3:$M$21</definedName>
    <definedName name="_xlnm.Print_Area" localSheetId="16">Parameters!$A$1:$G$17</definedName>
    <definedName name="_xlnm.Print_Area" localSheetId="6">Payroll!$A$1:$P$26</definedName>
    <definedName name="_xlnm.Print_Area" localSheetId="8">'Sales &amp; Marketing'!$A$1:$I$1</definedName>
    <definedName name="_xlnm.Print_Area" localSheetId="11">'Sales 2015'!$A$1:$BG$80</definedName>
    <definedName name="_xlnm.Print_Area" localSheetId="10">'Sales summary'!$A$1:$R$54</definedName>
    <definedName name="Prograsive\Uniqe" localSheetId="13">[3]Virtual!$I:$I</definedName>
    <definedName name="Prograsive\Uniqe">[3]Virtual!$I:$I</definedName>
    <definedName name="small" localSheetId="3">#REF!</definedName>
    <definedName name="small" localSheetId="14">#REF!</definedName>
    <definedName name="small" localSheetId="7">#REF!</definedName>
    <definedName name="small">#REF!</definedName>
    <definedName name="ToMonth" localSheetId="3">#REF!</definedName>
    <definedName name="ToMonth" localSheetId="14">#REF!</definedName>
    <definedName name="ToMonth" localSheetId="7">#REF!</definedName>
    <definedName name="ToMonth" localSheetId="13">#REF!</definedName>
    <definedName name="ToMonth" localSheetId="2">#REF!</definedName>
    <definedName name="ToMonth">#REF!</definedName>
    <definedName name="ToVol" localSheetId="13">[3]Virtual!$H:$H</definedName>
    <definedName name="ToVol">[3]Virtual!$H:$H</definedName>
    <definedName name="usd" localSheetId="3">#REF!</definedName>
    <definedName name="usd" localSheetId="14">#REF!</definedName>
    <definedName name="usd" localSheetId="7">#REF!</definedName>
    <definedName name="usd" localSheetId="13">#REF!</definedName>
    <definedName name="usd" localSheetId="2">#REF!</definedName>
    <definedName name="usd">#REF!</definedName>
    <definedName name="Virtual" localSheetId="3">#REF!</definedName>
    <definedName name="Virtual" localSheetId="14">#REF!</definedName>
    <definedName name="Virtual" localSheetId="7">#REF!</definedName>
    <definedName name="Virtual" localSheetId="13">#REF!</definedName>
    <definedName name="Virtual" localSheetId="2">#REF!</definedName>
    <definedName name="Virtual">#REF!</definedName>
    <definedName name="VirtualTotals" localSheetId="3">#REF!</definedName>
    <definedName name="VirtualTotals" localSheetId="14">#REF!</definedName>
    <definedName name="VirtualTotals" localSheetId="7">#REF!</definedName>
    <definedName name="VirtualTotals" localSheetId="13">#REF!</definedName>
    <definedName name="VirtualTotals" localSheetId="2">#REF!</definedName>
    <definedName name="VirtualTotals">#REF!</definedName>
    <definedName name="VolDone" localSheetId="13">[3]Virtual!$K:$K</definedName>
    <definedName name="VolDone">[3]Virtual!$K:$K</definedName>
    <definedName name="VolToCalc" localSheetId="13">[3]Virtual!$N:$N</definedName>
    <definedName name="VolToCalc">[3]Virtual!$N:$N</definedName>
    <definedName name="VolToCalcProg" localSheetId="13">[3]Virtual!$L:$L</definedName>
    <definedName name="VolToCalcProg">[3]Virtual!$L:$L</definedName>
    <definedName name="VolToCalcUniqe" localSheetId="13">[3]Virtual!$M:$M</definedName>
    <definedName name="VolToCalcUniqe">[3]Virtual!$M:$M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52" l="1"/>
  <c r="F15" i="33"/>
  <c r="E5" i="52"/>
  <c r="C26" i="57"/>
  <c r="D26" i="57"/>
  <c r="E26" i="57"/>
  <c r="F26" i="57"/>
  <c r="G26" i="57"/>
  <c r="H26" i="57"/>
  <c r="I26" i="57"/>
  <c r="J26" i="57"/>
  <c r="K26" i="57"/>
  <c r="L26" i="57"/>
  <c r="M26" i="57"/>
  <c r="N26" i="57"/>
  <c r="O26" i="57"/>
  <c r="P26" i="57"/>
  <c r="Q26" i="57"/>
  <c r="R26" i="57"/>
  <c r="S26" i="57"/>
  <c r="B26" i="57"/>
  <c r="C3" i="57"/>
  <c r="D3" i="57"/>
  <c r="E3" i="57"/>
  <c r="F3" i="57"/>
  <c r="G3" i="57"/>
  <c r="H3" i="57"/>
  <c r="I3" i="57"/>
  <c r="J3" i="57"/>
  <c r="K3" i="57"/>
  <c r="L3" i="57"/>
  <c r="M3" i="57"/>
  <c r="N3" i="57"/>
  <c r="O3" i="57"/>
  <c r="P3" i="57"/>
  <c r="Q3" i="57"/>
  <c r="R3" i="57"/>
  <c r="S3" i="57"/>
  <c r="B3" i="57"/>
  <c r="C33" i="62"/>
  <c r="D33" i="62"/>
  <c r="E33" i="62"/>
  <c r="E34" i="62" s="1"/>
  <c r="F33" i="62"/>
  <c r="F34" i="62" s="1"/>
  <c r="G33" i="62"/>
  <c r="H33" i="62"/>
  <c r="H34" i="62" s="1"/>
  <c r="I33" i="62"/>
  <c r="I34" i="62" s="1"/>
  <c r="J33" i="62"/>
  <c r="J34" i="62" s="1"/>
  <c r="K33" i="62"/>
  <c r="L33" i="62"/>
  <c r="M33" i="62"/>
  <c r="M34" i="62" s="1"/>
  <c r="N33" i="62"/>
  <c r="O33" i="62"/>
  <c r="P33" i="62"/>
  <c r="Q33" i="62"/>
  <c r="Q34" i="62" s="1"/>
  <c r="R33" i="62"/>
  <c r="R34" i="62" s="1"/>
  <c r="S33" i="62"/>
  <c r="T33" i="62"/>
  <c r="T34" i="62" s="1"/>
  <c r="C34" i="62"/>
  <c r="D34" i="62"/>
  <c r="G34" i="62"/>
  <c r="K34" i="62"/>
  <c r="L34" i="62"/>
  <c r="N34" i="62"/>
  <c r="O34" i="62"/>
  <c r="P34" i="62"/>
  <c r="S34" i="62"/>
  <c r="B34" i="62"/>
  <c r="B33" i="62"/>
  <c r="D23" i="64"/>
  <c r="E23" i="64"/>
  <c r="F23" i="64"/>
  <c r="G23" i="64"/>
  <c r="H23" i="64"/>
  <c r="I23" i="64"/>
  <c r="J23" i="64"/>
  <c r="K23" i="64"/>
  <c r="L23" i="64"/>
  <c r="M23" i="64"/>
  <c r="N23" i="64"/>
  <c r="O23" i="64"/>
  <c r="P23" i="64"/>
  <c r="Q23" i="64"/>
  <c r="R23" i="64"/>
  <c r="S23" i="64"/>
  <c r="T23" i="64"/>
  <c r="C23" i="64"/>
  <c r="J14" i="33"/>
  <c r="I14" i="33"/>
  <c r="F14" i="33"/>
  <c r="E14" i="33"/>
  <c r="D14" i="33"/>
  <c r="C14" i="33"/>
  <c r="U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T17" i="3" s="1"/>
  <c r="F17" i="3"/>
  <c r="E17" i="3"/>
  <c r="D17" i="3"/>
  <c r="C17" i="3"/>
  <c r="B17" i="3"/>
  <c r="T16" i="3"/>
  <c r="S16" i="3"/>
  <c r="P16" i="3"/>
  <c r="Q16" i="3"/>
  <c r="R16" i="3"/>
  <c r="O16" i="3"/>
  <c r="M16" i="3"/>
  <c r="D16" i="3"/>
  <c r="E16" i="3"/>
  <c r="F16" i="3" s="1"/>
  <c r="G16" i="3" s="1"/>
  <c r="H16" i="3" s="1"/>
  <c r="I16" i="3" s="1"/>
  <c r="J16" i="3" s="1"/>
  <c r="K16" i="3" s="1"/>
  <c r="L16" i="3" s="1"/>
  <c r="C16" i="3"/>
  <c r="T15" i="3"/>
  <c r="T14" i="3"/>
  <c r="T13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B10" i="3"/>
  <c r="P9" i="3"/>
  <c r="Q9" i="3"/>
  <c r="R9" i="3" s="1"/>
  <c r="S9" i="3" s="1"/>
  <c r="O9" i="3"/>
  <c r="D9" i="3"/>
  <c r="E9" i="3" s="1"/>
  <c r="F9" i="3" s="1"/>
  <c r="G9" i="3" s="1"/>
  <c r="H9" i="3" s="1"/>
  <c r="I9" i="3" s="1"/>
  <c r="J9" i="3" s="1"/>
  <c r="K9" i="3" s="1"/>
  <c r="L9" i="3" s="1"/>
  <c r="M9" i="3" s="1"/>
  <c r="C9" i="3"/>
  <c r="T8" i="3"/>
  <c r="T7" i="3"/>
  <c r="G1" i="33"/>
  <c r="T33" i="64"/>
  <c r="S33" i="64"/>
  <c r="R33" i="64"/>
  <c r="Q33" i="64"/>
  <c r="N33" i="64"/>
  <c r="M33" i="64"/>
  <c r="K33" i="64"/>
  <c r="J33" i="64"/>
  <c r="H33" i="64"/>
  <c r="G33" i="64"/>
  <c r="F33" i="64"/>
  <c r="E33" i="64"/>
  <c r="D33" i="64"/>
  <c r="C33" i="64"/>
  <c r="P33" i="64"/>
  <c r="I31" i="64"/>
  <c r="U6" i="64"/>
  <c r="E4" i="52" s="1"/>
  <c r="AF1" i="63"/>
  <c r="V71" i="63" s="1"/>
  <c r="AC73" i="63"/>
  <c r="AB73" i="63"/>
  <c r="AA73" i="63"/>
  <c r="Z73" i="63"/>
  <c r="X73" i="63"/>
  <c r="AA71" i="63"/>
  <c r="G71" i="63"/>
  <c r="I71" i="63" s="1"/>
  <c r="K71" i="63" s="1"/>
  <c r="F71" i="63"/>
  <c r="H71" i="63" s="1"/>
  <c r="AA70" i="63"/>
  <c r="Y70" i="63"/>
  <c r="Y72" i="63" s="1"/>
  <c r="G70" i="63"/>
  <c r="I70" i="63" s="1"/>
  <c r="K70" i="63" s="1"/>
  <c r="F70" i="63"/>
  <c r="Y69" i="63"/>
  <c r="AA67" i="63"/>
  <c r="O67" i="63"/>
  <c r="N67" i="63"/>
  <c r="G67" i="63"/>
  <c r="I67" i="63" s="1"/>
  <c r="K67" i="63" s="1"/>
  <c r="F67" i="63"/>
  <c r="H67" i="63" s="1"/>
  <c r="AA66" i="63"/>
  <c r="O66" i="63"/>
  <c r="N66" i="63"/>
  <c r="G66" i="63"/>
  <c r="I66" i="63" s="1"/>
  <c r="K66" i="63" s="1"/>
  <c r="F66" i="63"/>
  <c r="H66" i="63" s="1"/>
  <c r="Y65" i="63"/>
  <c r="AA64" i="63"/>
  <c r="Q64" i="63"/>
  <c r="O62" i="63"/>
  <c r="N62" i="63"/>
  <c r="G62" i="63"/>
  <c r="I62" i="63" s="1"/>
  <c r="K62" i="63" s="1"/>
  <c r="F62" i="63"/>
  <c r="H62" i="63" s="1"/>
  <c r="O61" i="63"/>
  <c r="N61" i="63"/>
  <c r="G61" i="63"/>
  <c r="I61" i="63" s="1"/>
  <c r="K61" i="63" s="1"/>
  <c r="F61" i="63"/>
  <c r="H61" i="63" s="1"/>
  <c r="O60" i="63"/>
  <c r="N60" i="63"/>
  <c r="G60" i="63"/>
  <c r="F60" i="63"/>
  <c r="H60" i="63" s="1"/>
  <c r="G57" i="63"/>
  <c r="I57" i="63" s="1"/>
  <c r="K57" i="63" s="1"/>
  <c r="F57" i="63"/>
  <c r="O56" i="63"/>
  <c r="N56" i="63"/>
  <c r="G56" i="63"/>
  <c r="I56" i="63" s="1"/>
  <c r="K56" i="63" s="1"/>
  <c r="F56" i="63"/>
  <c r="O55" i="63"/>
  <c r="N55" i="63"/>
  <c r="G55" i="63"/>
  <c r="I55" i="63" s="1"/>
  <c r="K55" i="63" s="1"/>
  <c r="F55" i="63"/>
  <c r="H55" i="63" s="1"/>
  <c r="O52" i="63"/>
  <c r="N52" i="63"/>
  <c r="G52" i="63"/>
  <c r="I52" i="63" s="1"/>
  <c r="K52" i="63" s="1"/>
  <c r="F52" i="63"/>
  <c r="H52" i="63" s="1"/>
  <c r="O51" i="63"/>
  <c r="N51" i="63"/>
  <c r="G51" i="63"/>
  <c r="I51" i="63" s="1"/>
  <c r="K51" i="63" s="1"/>
  <c r="F51" i="63"/>
  <c r="O50" i="63"/>
  <c r="N50" i="63"/>
  <c r="G50" i="63"/>
  <c r="I50" i="63" s="1"/>
  <c r="K50" i="63" s="1"/>
  <c r="F50" i="63"/>
  <c r="H50" i="63" s="1"/>
  <c r="O49" i="63"/>
  <c r="N49" i="63"/>
  <c r="G49" i="63"/>
  <c r="I49" i="63" s="1"/>
  <c r="K49" i="63" s="1"/>
  <c r="F49" i="63"/>
  <c r="O46" i="63"/>
  <c r="N46" i="63"/>
  <c r="G46" i="63"/>
  <c r="I46" i="63" s="1"/>
  <c r="K46" i="63" s="1"/>
  <c r="F46" i="63"/>
  <c r="H46" i="63" s="1"/>
  <c r="O45" i="63"/>
  <c r="N45" i="63"/>
  <c r="G45" i="63"/>
  <c r="F45" i="63"/>
  <c r="H45" i="63" s="1"/>
  <c r="O44" i="63"/>
  <c r="N44" i="63"/>
  <c r="V44" i="63" s="1"/>
  <c r="G44" i="63"/>
  <c r="I44" i="63" s="1"/>
  <c r="K44" i="63" s="1"/>
  <c r="F44" i="63"/>
  <c r="O41" i="63"/>
  <c r="N41" i="63"/>
  <c r="G41" i="63"/>
  <c r="I41" i="63" s="1"/>
  <c r="K41" i="63" s="1"/>
  <c r="F41" i="63"/>
  <c r="H41" i="63" s="1"/>
  <c r="O40" i="63"/>
  <c r="G40" i="63"/>
  <c r="I40" i="63" s="1"/>
  <c r="K40" i="63" s="1"/>
  <c r="H40" i="63"/>
  <c r="O39" i="63"/>
  <c r="G39" i="63"/>
  <c r="I39" i="63" s="1"/>
  <c r="K39" i="63" s="1"/>
  <c r="F39" i="63"/>
  <c r="R39" i="63" s="1"/>
  <c r="V38" i="63"/>
  <c r="G38" i="63"/>
  <c r="I38" i="63" s="1"/>
  <c r="O37" i="63"/>
  <c r="N37" i="63"/>
  <c r="G37" i="63"/>
  <c r="I37" i="63" s="1"/>
  <c r="F37" i="63"/>
  <c r="H37" i="63" s="1"/>
  <c r="G34" i="63"/>
  <c r="I34" i="63" s="1"/>
  <c r="K34" i="63" s="1"/>
  <c r="F34" i="63"/>
  <c r="H34" i="63" s="1"/>
  <c r="O33" i="63"/>
  <c r="N33" i="63"/>
  <c r="I33" i="63"/>
  <c r="K33" i="63" s="1"/>
  <c r="H33" i="63"/>
  <c r="J33" i="63" s="1"/>
  <c r="T33" i="63" s="1"/>
  <c r="O30" i="63"/>
  <c r="N30" i="63"/>
  <c r="V30" i="63" s="1"/>
  <c r="G30" i="63"/>
  <c r="I30" i="63" s="1"/>
  <c r="K30" i="63" s="1"/>
  <c r="F30" i="63"/>
  <c r="H30" i="63" s="1"/>
  <c r="J30" i="63" s="1"/>
  <c r="O29" i="63"/>
  <c r="N29" i="63"/>
  <c r="G29" i="63"/>
  <c r="I29" i="63" s="1"/>
  <c r="K29" i="63" s="1"/>
  <c r="F29" i="63"/>
  <c r="H29" i="63" s="1"/>
  <c r="O28" i="63"/>
  <c r="N28" i="63"/>
  <c r="G28" i="63"/>
  <c r="F28" i="63"/>
  <c r="H28" i="63" s="1"/>
  <c r="O27" i="63"/>
  <c r="N27" i="63"/>
  <c r="V27" i="63" s="1"/>
  <c r="G27" i="63"/>
  <c r="I27" i="63" s="1"/>
  <c r="K27" i="63" s="1"/>
  <c r="F27" i="63"/>
  <c r="O26" i="63"/>
  <c r="G26" i="63"/>
  <c r="I26" i="63" s="1"/>
  <c r="F26" i="63"/>
  <c r="H26" i="63" s="1"/>
  <c r="J26" i="63" s="1"/>
  <c r="N25" i="63"/>
  <c r="G25" i="63"/>
  <c r="I25" i="63" s="1"/>
  <c r="K25" i="63" s="1"/>
  <c r="F25" i="63"/>
  <c r="H25" i="63" s="1"/>
  <c r="J25" i="63" s="1"/>
  <c r="AA22" i="63"/>
  <c r="G22" i="63"/>
  <c r="I22" i="63" s="1"/>
  <c r="K22" i="63" s="1"/>
  <c r="F22" i="63"/>
  <c r="H22" i="63" s="1"/>
  <c r="G21" i="63"/>
  <c r="I21" i="63" s="1"/>
  <c r="K21" i="63" s="1"/>
  <c r="F21" i="63"/>
  <c r="G20" i="63"/>
  <c r="I20" i="63" s="1"/>
  <c r="K20" i="63" s="1"/>
  <c r="F20" i="63"/>
  <c r="H20" i="63" s="1"/>
  <c r="AA19" i="63"/>
  <c r="G19" i="63"/>
  <c r="I19" i="63" s="1"/>
  <c r="F19" i="63"/>
  <c r="H19" i="63" s="1"/>
  <c r="J19" i="63" s="1"/>
  <c r="AA18" i="63"/>
  <c r="G18" i="63"/>
  <c r="F18" i="63"/>
  <c r="H18" i="63" s="1"/>
  <c r="AA17" i="63"/>
  <c r="Y17" i="63"/>
  <c r="Y31" i="63" s="1"/>
  <c r="U17" i="63"/>
  <c r="G17" i="63"/>
  <c r="I17" i="63" s="1"/>
  <c r="F17" i="63"/>
  <c r="H17" i="63" s="1"/>
  <c r="J17" i="63" s="1"/>
  <c r="Y16" i="63"/>
  <c r="O12" i="63"/>
  <c r="N10" i="63"/>
  <c r="N11" i="63" s="1"/>
  <c r="L10" i="63"/>
  <c r="L11" i="63" s="1"/>
  <c r="O9" i="63"/>
  <c r="N9" i="63"/>
  <c r="M9" i="63"/>
  <c r="L9" i="63"/>
  <c r="U9" i="63" s="1"/>
  <c r="AA7" i="63"/>
  <c r="O7" i="63"/>
  <c r="M7" i="63"/>
  <c r="T10" i="63" l="1"/>
  <c r="V12" i="63"/>
  <c r="V29" i="63"/>
  <c r="S37" i="63"/>
  <c r="S41" i="63"/>
  <c r="S46" i="63"/>
  <c r="U11" i="63"/>
  <c r="V11" i="63"/>
  <c r="R27" i="63"/>
  <c r="T30" i="63"/>
  <c r="V37" i="63"/>
  <c r="V41" i="63"/>
  <c r="V46" i="63"/>
  <c r="V51" i="63"/>
  <c r="V56" i="63"/>
  <c r="S62" i="63"/>
  <c r="S67" i="63"/>
  <c r="R44" i="63"/>
  <c r="R49" i="63"/>
  <c r="S52" i="63"/>
  <c r="R57" i="63"/>
  <c r="V62" i="63"/>
  <c r="V67" i="63"/>
  <c r="U27" i="64"/>
  <c r="U32" i="64"/>
  <c r="U23" i="64"/>
  <c r="W23" i="64" s="1"/>
  <c r="V9" i="63"/>
  <c r="T25" i="63"/>
  <c r="V28" i="63"/>
  <c r="V33" i="63"/>
  <c r="V45" i="63"/>
  <c r="V50" i="63"/>
  <c r="V53" i="63" s="1"/>
  <c r="R15" i="64" s="1"/>
  <c r="S15" i="64" s="1"/>
  <c r="T15" i="64" s="1"/>
  <c r="V55" i="63"/>
  <c r="S61" i="63"/>
  <c r="L31" i="64"/>
  <c r="I33" i="64"/>
  <c r="S22" i="63"/>
  <c r="S12" i="63"/>
  <c r="T12" i="63"/>
  <c r="S14" i="63"/>
  <c r="V49" i="63"/>
  <c r="V52" i="63"/>
  <c r="T14" i="63"/>
  <c r="U18" i="63"/>
  <c r="V25" i="63"/>
  <c r="S29" i="63"/>
  <c r="S34" i="63"/>
  <c r="V39" i="63"/>
  <c r="S50" i="63"/>
  <c r="S55" i="63"/>
  <c r="V60" i="63"/>
  <c r="R70" i="63"/>
  <c r="R7" i="63"/>
  <c r="U20" i="63"/>
  <c r="S40" i="63"/>
  <c r="S66" i="63"/>
  <c r="S7" i="63"/>
  <c r="U22" i="63"/>
  <c r="U26" i="63"/>
  <c r="S20" i="63"/>
  <c r="V26" i="63"/>
  <c r="V40" i="63"/>
  <c r="V66" i="63"/>
  <c r="V68" i="63" s="1"/>
  <c r="R18" i="64" s="1"/>
  <c r="S18" i="64" s="1"/>
  <c r="T18" i="64" s="1"/>
  <c r="S9" i="63"/>
  <c r="R51" i="63"/>
  <c r="R56" i="63"/>
  <c r="V61" i="63"/>
  <c r="V63" i="63" s="1"/>
  <c r="R17" i="64" s="1"/>
  <c r="S71" i="63"/>
  <c r="T9" i="63"/>
  <c r="R21" i="63"/>
  <c r="S10" i="63"/>
  <c r="V47" i="63"/>
  <c r="R14" i="64" s="1"/>
  <c r="S14" i="64" s="1"/>
  <c r="T14" i="64" s="1"/>
  <c r="U28" i="63"/>
  <c r="U30" i="63"/>
  <c r="U34" i="63"/>
  <c r="U38" i="63"/>
  <c r="U40" i="63"/>
  <c r="U44" i="63"/>
  <c r="U46" i="63"/>
  <c r="U50" i="63"/>
  <c r="U52" i="63"/>
  <c r="U56" i="63"/>
  <c r="U60" i="63"/>
  <c r="U62" i="63"/>
  <c r="U67" i="63"/>
  <c r="U71" i="63"/>
  <c r="T7" i="63"/>
  <c r="U10" i="63"/>
  <c r="U12" i="63"/>
  <c r="U14" i="63"/>
  <c r="V18" i="63"/>
  <c r="V20" i="63"/>
  <c r="V22" i="63"/>
  <c r="V34" i="63"/>
  <c r="V7" i="63"/>
  <c r="V10" i="63"/>
  <c r="V14" i="63"/>
  <c r="Q19" i="63"/>
  <c r="Q21" i="63"/>
  <c r="Q25" i="63"/>
  <c r="Q27" i="63"/>
  <c r="Q29" i="63"/>
  <c r="Q33" i="63"/>
  <c r="Q37" i="63"/>
  <c r="Q39" i="63"/>
  <c r="Q41" i="63"/>
  <c r="Q45" i="63"/>
  <c r="Q49" i="63"/>
  <c r="Q51" i="63"/>
  <c r="Q55" i="63"/>
  <c r="Q57" i="63"/>
  <c r="Q61" i="63"/>
  <c r="Q66" i="63"/>
  <c r="Q70" i="63"/>
  <c r="Q8" i="63"/>
  <c r="Q11" i="63"/>
  <c r="Q13" i="63"/>
  <c r="Q17" i="63"/>
  <c r="R19" i="63"/>
  <c r="R25" i="63"/>
  <c r="R29" i="63"/>
  <c r="R33" i="63"/>
  <c r="R37" i="63"/>
  <c r="R41" i="63"/>
  <c r="R45" i="63"/>
  <c r="R55" i="63"/>
  <c r="R61" i="63"/>
  <c r="R66" i="63"/>
  <c r="R8" i="63"/>
  <c r="R11" i="63"/>
  <c r="R13" i="63"/>
  <c r="R17" i="63"/>
  <c r="S19" i="63"/>
  <c r="S25" i="63"/>
  <c r="S33" i="63"/>
  <c r="S35" i="63" s="1"/>
  <c r="I12" i="64" s="1"/>
  <c r="J12" i="64" s="1"/>
  <c r="K12" i="64" s="1"/>
  <c r="S8" i="63"/>
  <c r="S11" i="63"/>
  <c r="S13" i="63"/>
  <c r="S17" i="63"/>
  <c r="T37" i="63"/>
  <c r="T8" i="63"/>
  <c r="T11" i="63"/>
  <c r="T13" i="63"/>
  <c r="U19" i="63"/>
  <c r="U21" i="63"/>
  <c r="U25" i="63"/>
  <c r="U27" i="63"/>
  <c r="U29" i="63"/>
  <c r="U33" i="63"/>
  <c r="U35" i="63" s="1"/>
  <c r="O12" i="64" s="1"/>
  <c r="U37" i="63"/>
  <c r="U39" i="63"/>
  <c r="U41" i="63"/>
  <c r="U45" i="63"/>
  <c r="U49" i="63"/>
  <c r="U51" i="63"/>
  <c r="U55" i="63"/>
  <c r="U57" i="63"/>
  <c r="U61" i="63"/>
  <c r="U66" i="63"/>
  <c r="U70" i="63"/>
  <c r="U8" i="63"/>
  <c r="U13" i="63"/>
  <c r="V17" i="63"/>
  <c r="V19" i="63"/>
  <c r="V21" i="63"/>
  <c r="V57" i="63"/>
  <c r="V58" i="63" s="1"/>
  <c r="R16" i="64" s="1"/>
  <c r="S16" i="64" s="1"/>
  <c r="T16" i="64" s="1"/>
  <c r="V70" i="63"/>
  <c r="V72" i="63" s="1"/>
  <c r="V8" i="63"/>
  <c r="V13" i="63"/>
  <c r="Q18" i="63"/>
  <c r="Q20" i="63"/>
  <c r="Q22" i="63"/>
  <c r="Q26" i="63"/>
  <c r="Q28" i="63"/>
  <c r="Q30" i="63"/>
  <c r="Q34" i="63"/>
  <c r="Q38" i="63"/>
  <c r="Q40" i="63"/>
  <c r="Q44" i="63"/>
  <c r="Q46" i="63"/>
  <c r="Q50" i="63"/>
  <c r="Q52" i="63"/>
  <c r="W52" i="63" s="1"/>
  <c r="Q56" i="63"/>
  <c r="Q60" i="63"/>
  <c r="Q62" i="63"/>
  <c r="Q67" i="63"/>
  <c r="Q71" i="63"/>
  <c r="Q7" i="63"/>
  <c r="Q9" i="63"/>
  <c r="Q10" i="63"/>
  <c r="Q12" i="63"/>
  <c r="Q14" i="63"/>
  <c r="R18" i="63"/>
  <c r="R20" i="63"/>
  <c r="R22" i="63"/>
  <c r="R26" i="63"/>
  <c r="R28" i="63"/>
  <c r="R30" i="63"/>
  <c r="R34" i="63"/>
  <c r="R38" i="63"/>
  <c r="R40" i="63"/>
  <c r="R46" i="63"/>
  <c r="R50" i="63"/>
  <c r="R52" i="63"/>
  <c r="R60" i="63"/>
  <c r="R62" i="63"/>
  <c r="R67" i="63"/>
  <c r="R71" i="63"/>
  <c r="R9" i="63"/>
  <c r="R10" i="63"/>
  <c r="R12" i="63"/>
  <c r="R14" i="63"/>
  <c r="S26" i="63"/>
  <c r="S30" i="63"/>
  <c r="S38" i="63"/>
  <c r="U7" i="63"/>
  <c r="Y73" i="63"/>
  <c r="J20" i="63"/>
  <c r="T20" i="63" s="1"/>
  <c r="K26" i="63"/>
  <c r="T26" i="63" s="1"/>
  <c r="J41" i="63"/>
  <c r="T41" i="63" s="1"/>
  <c r="J61" i="63"/>
  <c r="T61" i="63" s="1"/>
  <c r="J71" i="63"/>
  <c r="T71" i="63" s="1"/>
  <c r="J55" i="63"/>
  <c r="T55" i="63" s="1"/>
  <c r="J67" i="63"/>
  <c r="T67" i="63" s="1"/>
  <c r="J29" i="63"/>
  <c r="T29" i="63" s="1"/>
  <c r="T38" i="63"/>
  <c r="J40" i="63"/>
  <c r="T40" i="63" s="1"/>
  <c r="J66" i="63"/>
  <c r="T66" i="63" s="1"/>
  <c r="J62" i="63"/>
  <c r="T62" i="63" s="1"/>
  <c r="K17" i="63"/>
  <c r="T17" i="63" s="1"/>
  <c r="K19" i="63"/>
  <c r="T19" i="63" s="1"/>
  <c r="J22" i="63"/>
  <c r="T22" i="63" s="1"/>
  <c r="J46" i="63"/>
  <c r="T46" i="63" s="1"/>
  <c r="I18" i="63"/>
  <c r="K18" i="63" s="1"/>
  <c r="I28" i="63"/>
  <c r="K28" i="63" s="1"/>
  <c r="J34" i="63"/>
  <c r="T34" i="63" s="1"/>
  <c r="T35" i="63" s="1"/>
  <c r="L12" i="64" s="1"/>
  <c r="M12" i="64" s="1"/>
  <c r="N12" i="64" s="1"/>
  <c r="H39" i="63"/>
  <c r="S39" i="63" s="1"/>
  <c r="I45" i="63"/>
  <c r="K45" i="63" s="1"/>
  <c r="H51" i="63"/>
  <c r="S51" i="63" s="1"/>
  <c r="J52" i="63"/>
  <c r="T52" i="63" s="1"/>
  <c r="I60" i="63"/>
  <c r="K60" i="63" s="1"/>
  <c r="J18" i="63"/>
  <c r="H21" i="63"/>
  <c r="S21" i="63" s="1"/>
  <c r="H27" i="63"/>
  <c r="S27" i="63" s="1"/>
  <c r="J28" i="63"/>
  <c r="H44" i="63"/>
  <c r="S44" i="63" s="1"/>
  <c r="J45" i="63"/>
  <c r="H57" i="63"/>
  <c r="S57" i="63" s="1"/>
  <c r="J60" i="63"/>
  <c r="H70" i="63"/>
  <c r="S70" i="63" s="1"/>
  <c r="H49" i="63"/>
  <c r="S49" i="63" s="1"/>
  <c r="J50" i="63"/>
  <c r="T50" i="63" s="1"/>
  <c r="H56" i="63"/>
  <c r="S56" i="63" s="1"/>
  <c r="W62" i="63" l="1"/>
  <c r="U72" i="63"/>
  <c r="U68" i="63"/>
  <c r="O18" i="64" s="1"/>
  <c r="P18" i="64" s="1"/>
  <c r="Q18" i="64" s="1"/>
  <c r="W12" i="63"/>
  <c r="V42" i="63"/>
  <c r="R13" i="64" s="1"/>
  <c r="S13" i="64" s="1"/>
  <c r="T13" i="64" s="1"/>
  <c r="V35" i="63"/>
  <c r="R12" i="64" s="1"/>
  <c r="S12" i="64" s="1"/>
  <c r="T12" i="64" s="1"/>
  <c r="P12" i="64"/>
  <c r="Q12" i="64" s="1"/>
  <c r="L33" i="64"/>
  <c r="U31" i="64"/>
  <c r="W10" i="63"/>
  <c r="W17" i="63"/>
  <c r="W41" i="63"/>
  <c r="W9" i="63"/>
  <c r="W13" i="63"/>
  <c r="W7" i="63"/>
  <c r="W34" i="63"/>
  <c r="W11" i="63"/>
  <c r="W37" i="63"/>
  <c r="W71" i="63"/>
  <c r="W30" i="63"/>
  <c r="W8" i="63"/>
  <c r="V31" i="63"/>
  <c r="R11" i="64" s="1"/>
  <c r="S11" i="64" s="1"/>
  <c r="T11" i="64" s="1"/>
  <c r="W67" i="63"/>
  <c r="W29" i="63"/>
  <c r="U23" i="63"/>
  <c r="W66" i="63"/>
  <c r="W26" i="63"/>
  <c r="W22" i="63"/>
  <c r="W61" i="63"/>
  <c r="W25" i="63"/>
  <c r="W20" i="63"/>
  <c r="W33" i="63"/>
  <c r="W35" i="63" s="1"/>
  <c r="W55" i="63"/>
  <c r="W19" i="63"/>
  <c r="R35" i="63"/>
  <c r="F12" i="64" s="1"/>
  <c r="G12" i="64" s="1"/>
  <c r="H12" i="64" s="1"/>
  <c r="W50" i="63"/>
  <c r="W14" i="63"/>
  <c r="W46" i="63"/>
  <c r="W40" i="63"/>
  <c r="W38" i="63"/>
  <c r="V15" i="63"/>
  <c r="R9" i="64" s="1"/>
  <c r="U63" i="63"/>
  <c r="O17" i="64" s="1"/>
  <c r="T28" i="63"/>
  <c r="T45" i="63"/>
  <c r="U42" i="63"/>
  <c r="O13" i="64" s="1"/>
  <c r="P13" i="64" s="1"/>
  <c r="Q13" i="64" s="1"/>
  <c r="S45" i="63"/>
  <c r="S47" i="63" s="1"/>
  <c r="I14" i="64" s="1"/>
  <c r="J14" i="64" s="1"/>
  <c r="K14" i="64" s="1"/>
  <c r="U15" i="63"/>
  <c r="O9" i="64" s="1"/>
  <c r="U31" i="63"/>
  <c r="O11" i="64" s="1"/>
  <c r="P11" i="64" s="1"/>
  <c r="Q11" i="64" s="1"/>
  <c r="U47" i="63"/>
  <c r="O14" i="64" s="1"/>
  <c r="P14" i="64" s="1"/>
  <c r="Q14" i="64" s="1"/>
  <c r="T18" i="63"/>
  <c r="S60" i="63"/>
  <c r="S63" i="63" s="1"/>
  <c r="I17" i="64" s="1"/>
  <c r="J17" i="64" s="1"/>
  <c r="K17" i="64" s="1"/>
  <c r="U58" i="63"/>
  <c r="O16" i="64" s="1"/>
  <c r="P16" i="64" s="1"/>
  <c r="Q16" i="64" s="1"/>
  <c r="U53" i="63"/>
  <c r="O15" i="64" s="1"/>
  <c r="P15" i="64" s="1"/>
  <c r="Q15" i="64" s="1"/>
  <c r="S18" i="63"/>
  <c r="S23" i="63" s="1"/>
  <c r="I10" i="64" s="1"/>
  <c r="J10" i="64" s="1"/>
  <c r="K10" i="64" s="1"/>
  <c r="S28" i="63"/>
  <c r="W28" i="63" s="1"/>
  <c r="T60" i="63"/>
  <c r="T63" i="63" s="1"/>
  <c r="L17" i="64" s="1"/>
  <c r="M17" i="64" s="1"/>
  <c r="N17" i="64" s="1"/>
  <c r="V23" i="63"/>
  <c r="R42" i="63"/>
  <c r="F13" i="64" s="1"/>
  <c r="G13" i="64" s="1"/>
  <c r="H13" i="64" s="1"/>
  <c r="R47" i="63"/>
  <c r="F14" i="64" s="1"/>
  <c r="G14" i="64" s="1"/>
  <c r="H14" i="64" s="1"/>
  <c r="R15" i="63"/>
  <c r="F9" i="64" s="1"/>
  <c r="R31" i="63"/>
  <c r="F11" i="64" s="1"/>
  <c r="G11" i="64" s="1"/>
  <c r="H11" i="64" s="1"/>
  <c r="R68" i="63"/>
  <c r="F18" i="64" s="1"/>
  <c r="G18" i="64" s="1"/>
  <c r="H18" i="64" s="1"/>
  <c r="R58" i="63"/>
  <c r="F16" i="64" s="1"/>
  <c r="G16" i="64" s="1"/>
  <c r="H16" i="64" s="1"/>
  <c r="R53" i="63"/>
  <c r="F15" i="64" s="1"/>
  <c r="G15" i="64" s="1"/>
  <c r="H15" i="64" s="1"/>
  <c r="R23" i="63"/>
  <c r="F10" i="64" s="1"/>
  <c r="G10" i="64" s="1"/>
  <c r="H10" i="64" s="1"/>
  <c r="T15" i="63"/>
  <c r="L9" i="64" s="1"/>
  <c r="S15" i="63"/>
  <c r="I9" i="64" s="1"/>
  <c r="Q63" i="63"/>
  <c r="C17" i="64" s="1"/>
  <c r="D17" i="64" s="1"/>
  <c r="E17" i="64" s="1"/>
  <c r="Q23" i="63"/>
  <c r="C10" i="64" s="1"/>
  <c r="D10" i="64" s="1"/>
  <c r="E10" i="64" s="1"/>
  <c r="J57" i="63"/>
  <c r="T57" i="63" s="1"/>
  <c r="W57" i="63" s="1"/>
  <c r="J39" i="63"/>
  <c r="T39" i="63" s="1"/>
  <c r="T42" i="63" s="1"/>
  <c r="L13" i="64" s="1"/>
  <c r="M13" i="64" s="1"/>
  <c r="N13" i="64" s="1"/>
  <c r="Q72" i="63"/>
  <c r="S58" i="63"/>
  <c r="I16" i="64" s="1"/>
  <c r="J16" i="64" s="1"/>
  <c r="K16" i="64" s="1"/>
  <c r="Q31" i="63"/>
  <c r="C11" i="64" s="1"/>
  <c r="S68" i="63"/>
  <c r="I18" i="64" s="1"/>
  <c r="J18" i="64" s="1"/>
  <c r="K18" i="64" s="1"/>
  <c r="T68" i="63"/>
  <c r="L18" i="64" s="1"/>
  <c r="M18" i="64" s="1"/>
  <c r="N18" i="64" s="1"/>
  <c r="J56" i="63"/>
  <c r="T56" i="63" s="1"/>
  <c r="W56" i="63" s="1"/>
  <c r="J27" i="63"/>
  <c r="T27" i="63" s="1"/>
  <c r="W27" i="63" s="1"/>
  <c r="J70" i="63"/>
  <c r="T70" i="63" s="1"/>
  <c r="W70" i="63" s="1"/>
  <c r="Q15" i="63"/>
  <c r="C9" i="64" s="1"/>
  <c r="S42" i="63"/>
  <c r="I13" i="64" s="1"/>
  <c r="J13" i="64" s="1"/>
  <c r="K13" i="64" s="1"/>
  <c r="R63" i="63"/>
  <c r="F17" i="64" s="1"/>
  <c r="G17" i="64" s="1"/>
  <c r="H17" i="64" s="1"/>
  <c r="J21" i="63"/>
  <c r="T21" i="63" s="1"/>
  <c r="W21" i="63" s="1"/>
  <c r="J49" i="63"/>
  <c r="T49" i="63" s="1"/>
  <c r="W49" i="63" s="1"/>
  <c r="Q35" i="63"/>
  <c r="C12" i="64" s="1"/>
  <c r="J44" i="63"/>
  <c r="T44" i="63" s="1"/>
  <c r="W44" i="63" s="1"/>
  <c r="Q58" i="63"/>
  <c r="C16" i="64" s="1"/>
  <c r="Q53" i="63"/>
  <c r="C15" i="64" s="1"/>
  <c r="J51" i="63"/>
  <c r="T51" i="63" s="1"/>
  <c r="W51" i="63" s="1"/>
  <c r="Q68" i="63"/>
  <c r="C18" i="64" s="1"/>
  <c r="Q47" i="63"/>
  <c r="C14" i="64" s="1"/>
  <c r="Q42" i="63"/>
  <c r="C13" i="64" s="1"/>
  <c r="D14" i="64" l="1"/>
  <c r="E14" i="64" s="1"/>
  <c r="D11" i="64"/>
  <c r="E11" i="64" s="1"/>
  <c r="D18" i="64"/>
  <c r="E18" i="64" s="1"/>
  <c r="U18" i="64"/>
  <c r="D12" i="64"/>
  <c r="E12" i="64" s="1"/>
  <c r="U12" i="64"/>
  <c r="W12" i="64" s="1"/>
  <c r="D13" i="64"/>
  <c r="E13" i="64" s="1"/>
  <c r="D15" i="64"/>
  <c r="E15" i="64" s="1"/>
  <c r="D16" i="64"/>
  <c r="E16" i="64" s="1"/>
  <c r="R10" i="64"/>
  <c r="S10" i="64" s="1"/>
  <c r="T10" i="64" s="1"/>
  <c r="S17" i="64"/>
  <c r="T17" i="64" s="1"/>
  <c r="O10" i="64"/>
  <c r="M9" i="64"/>
  <c r="I19" i="64"/>
  <c r="J9" i="64"/>
  <c r="F19" i="64"/>
  <c r="G9" i="64"/>
  <c r="D9" i="64"/>
  <c r="C19" i="64"/>
  <c r="S9" i="64"/>
  <c r="P9" i="64"/>
  <c r="U30" i="64"/>
  <c r="W60" i="63"/>
  <c r="W18" i="63"/>
  <c r="W23" i="63" s="1"/>
  <c r="W45" i="63"/>
  <c r="T47" i="63"/>
  <c r="L14" i="64" s="1"/>
  <c r="M14" i="64" s="1"/>
  <c r="N14" i="64" s="1"/>
  <c r="T58" i="63"/>
  <c r="L16" i="64" s="1"/>
  <c r="M16" i="64" s="1"/>
  <c r="N16" i="64" s="1"/>
  <c r="W39" i="63"/>
  <c r="W42" i="63" s="1"/>
  <c r="V73" i="63"/>
  <c r="U73" i="63"/>
  <c r="T23" i="63"/>
  <c r="L10" i="64" s="1"/>
  <c r="M10" i="64" s="1"/>
  <c r="N10" i="64" s="1"/>
  <c r="S31" i="63"/>
  <c r="I11" i="64" s="1"/>
  <c r="J11" i="64" s="1"/>
  <c r="K11" i="64" s="1"/>
  <c r="T31" i="63"/>
  <c r="L11" i="64" s="1"/>
  <c r="M11" i="64" s="1"/>
  <c r="N11" i="64" s="1"/>
  <c r="W68" i="63"/>
  <c r="W53" i="63"/>
  <c r="W58" i="63"/>
  <c r="W47" i="63"/>
  <c r="W15" i="63"/>
  <c r="W31" i="63"/>
  <c r="T53" i="63"/>
  <c r="L15" i="64" s="1"/>
  <c r="M15" i="64" s="1"/>
  <c r="N15" i="64" s="1"/>
  <c r="R72" i="63"/>
  <c r="R73" i="63" s="1"/>
  <c r="D15" i="33" s="1"/>
  <c r="Q73" i="63"/>
  <c r="W63" i="63"/>
  <c r="S53" i="63"/>
  <c r="I15" i="64" s="1"/>
  <c r="J15" i="64" s="1"/>
  <c r="K15" i="64" s="1"/>
  <c r="U13" i="64" l="1"/>
  <c r="W13" i="64" s="1"/>
  <c r="U15" i="64"/>
  <c r="W15" i="64" s="1"/>
  <c r="W18" i="64"/>
  <c r="U11" i="64"/>
  <c r="W11" i="64" s="1"/>
  <c r="L19" i="64"/>
  <c r="U16" i="64"/>
  <c r="W16" i="64" s="1"/>
  <c r="U14" i="64"/>
  <c r="W14" i="64" s="1"/>
  <c r="O19" i="64"/>
  <c r="R19" i="64"/>
  <c r="P10" i="64"/>
  <c r="Q10" i="64" s="1"/>
  <c r="P17" i="64"/>
  <c r="N9" i="64"/>
  <c r="N19" i="64" s="1"/>
  <c r="M19" i="64"/>
  <c r="J19" i="64"/>
  <c r="K9" i="64"/>
  <c r="K19" i="64" s="1"/>
  <c r="G19" i="64"/>
  <c r="H9" i="64"/>
  <c r="H19" i="64" s="1"/>
  <c r="D19" i="64"/>
  <c r="E9" i="64"/>
  <c r="E19" i="64" s="1"/>
  <c r="T9" i="64"/>
  <c r="T19" i="64" s="1"/>
  <c r="S19" i="64"/>
  <c r="U33" i="64"/>
  <c r="O33" i="64"/>
  <c r="Q9" i="64"/>
  <c r="P19" i="64"/>
  <c r="U74" i="63"/>
  <c r="I15" i="33"/>
  <c r="Q74" i="63"/>
  <c r="C15" i="33"/>
  <c r="V74" i="63"/>
  <c r="J15" i="33"/>
  <c r="R74" i="63"/>
  <c r="S72" i="63"/>
  <c r="S73" i="63" s="1"/>
  <c r="T72" i="63"/>
  <c r="T73" i="63" s="1"/>
  <c r="W72" i="63"/>
  <c r="W73" i="63" s="1"/>
  <c r="W74" i="63" s="1"/>
  <c r="U10" i="64" l="1"/>
  <c r="W10" i="64" s="1"/>
  <c r="Q17" i="64"/>
  <c r="U17" i="64"/>
  <c r="W17" i="64" s="1"/>
  <c r="Q19" i="64"/>
  <c r="U9" i="64"/>
  <c r="W9" i="64" s="1"/>
  <c r="S74" i="63"/>
  <c r="E15" i="33"/>
  <c r="T74" i="63"/>
  <c r="AD73" i="63"/>
  <c r="U19" i="64" l="1"/>
  <c r="W19" i="64" s="1"/>
  <c r="C27" i="62" l="1"/>
  <c r="D27" i="62" s="1"/>
  <c r="E27" i="62" s="1"/>
  <c r="F27" i="62" s="1"/>
  <c r="G27" i="62" s="1"/>
  <c r="H27" i="62" s="1"/>
  <c r="I27" i="62" s="1"/>
  <c r="J27" i="62" s="1"/>
  <c r="K27" i="62" s="1"/>
  <c r="L27" i="62" s="1"/>
  <c r="M27" i="62" s="1"/>
  <c r="N27" i="62" s="1"/>
  <c r="O27" i="62" s="1"/>
  <c r="P27" i="62" s="1"/>
  <c r="Q27" i="62" s="1"/>
  <c r="R27" i="62" s="1"/>
  <c r="S27" i="62" s="1"/>
  <c r="B26" i="62"/>
  <c r="C23" i="62" s="1"/>
  <c r="C18" i="62"/>
  <c r="D18" i="62" s="1"/>
  <c r="E18" i="62" s="1"/>
  <c r="F18" i="62" s="1"/>
  <c r="G18" i="62" s="1"/>
  <c r="H18" i="62" s="1"/>
  <c r="I18" i="62" s="1"/>
  <c r="J18" i="62" s="1"/>
  <c r="K18" i="62" s="1"/>
  <c r="L18" i="62" s="1"/>
  <c r="M18" i="62" s="1"/>
  <c r="N18" i="62" s="1"/>
  <c r="O18" i="62" s="1"/>
  <c r="P18" i="62" s="1"/>
  <c r="Q18" i="62" s="1"/>
  <c r="R18" i="62" s="1"/>
  <c r="S18" i="62" s="1"/>
  <c r="B17" i="62"/>
  <c r="C14" i="62" s="1"/>
  <c r="C17" i="62" s="1"/>
  <c r="D9" i="62"/>
  <c r="E9" i="62" s="1"/>
  <c r="C9" i="62"/>
  <c r="B8" i="62"/>
  <c r="B10" i="62" s="1"/>
  <c r="AJ23" i="48"/>
  <c r="AI23" i="48"/>
  <c r="AH23" i="48"/>
  <c r="AG23" i="48"/>
  <c r="AF23" i="48"/>
  <c r="AE23" i="48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AJ22" i="48"/>
  <c r="AI22" i="48"/>
  <c r="AH22" i="48"/>
  <c r="AG22" i="48"/>
  <c r="AF22" i="48"/>
  <c r="AE22" i="48"/>
  <c r="AD22" i="48"/>
  <c r="AC22" i="48"/>
  <c r="AB22" i="48"/>
  <c r="AA22" i="48"/>
  <c r="Z22" i="48"/>
  <c r="Y22" i="48"/>
  <c r="X22" i="48"/>
  <c r="W22" i="48"/>
  <c r="V22" i="48"/>
  <c r="U22" i="48"/>
  <c r="T22" i="48"/>
  <c r="S22" i="48"/>
  <c r="AJ21" i="48"/>
  <c r="AI21" i="48"/>
  <c r="AH21" i="48"/>
  <c r="AG21" i="48"/>
  <c r="AF21" i="48"/>
  <c r="AE21" i="48"/>
  <c r="AD21" i="48"/>
  <c r="AC21" i="48"/>
  <c r="AB21" i="48"/>
  <c r="AA21" i="48"/>
  <c r="Z21" i="48"/>
  <c r="Y21" i="48"/>
  <c r="X21" i="48"/>
  <c r="W21" i="48"/>
  <c r="V21" i="48"/>
  <c r="U21" i="48"/>
  <c r="T21" i="48"/>
  <c r="S21" i="48"/>
  <c r="AK21" i="48" s="1"/>
  <c r="AJ20" i="48"/>
  <c r="AI20" i="48"/>
  <c r="AH20" i="48"/>
  <c r="AG20" i="48"/>
  <c r="AF20" i="48"/>
  <c r="AE20" i="48"/>
  <c r="AD20" i="48"/>
  <c r="AC20" i="48"/>
  <c r="AB20" i="48"/>
  <c r="AA20" i="48"/>
  <c r="Z20" i="48"/>
  <c r="Y20" i="48"/>
  <c r="X20" i="48"/>
  <c r="W20" i="48"/>
  <c r="V20" i="48"/>
  <c r="U20" i="48"/>
  <c r="T20" i="48"/>
  <c r="S20" i="48"/>
  <c r="AJ19" i="48"/>
  <c r="AI19" i="48"/>
  <c r="AH19" i="48"/>
  <c r="AG19" i="48"/>
  <c r="AF19" i="48"/>
  <c r="AE19" i="48"/>
  <c r="AD19" i="48"/>
  <c r="AC19" i="48"/>
  <c r="AB19" i="48"/>
  <c r="AA19" i="48"/>
  <c r="Z19" i="48"/>
  <c r="Y19" i="48"/>
  <c r="X19" i="48"/>
  <c r="W19" i="48"/>
  <c r="V19" i="48"/>
  <c r="U19" i="48"/>
  <c r="T19" i="48"/>
  <c r="S19" i="48"/>
  <c r="AK19" i="48" s="1"/>
  <c r="X18" i="48"/>
  <c r="W18" i="48"/>
  <c r="V18" i="48"/>
  <c r="U18" i="48"/>
  <c r="T18" i="48"/>
  <c r="S18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AK17" i="48" s="1"/>
  <c r="AE16" i="48"/>
  <c r="AD16" i="48"/>
  <c r="AC16" i="48"/>
  <c r="AB16" i="48"/>
  <c r="AA16" i="48"/>
  <c r="Z16" i="48"/>
  <c r="Y16" i="48"/>
  <c r="X16" i="48"/>
  <c r="W16" i="48"/>
  <c r="V16" i="48"/>
  <c r="U16" i="48"/>
  <c r="T16" i="48"/>
  <c r="S16" i="48"/>
  <c r="AC15" i="48"/>
  <c r="AB15" i="48"/>
  <c r="AA15" i="48"/>
  <c r="Z15" i="48"/>
  <c r="Y15" i="48"/>
  <c r="X15" i="48"/>
  <c r="W15" i="48"/>
  <c r="V15" i="48"/>
  <c r="U15" i="48"/>
  <c r="T15" i="48"/>
  <c r="S15" i="48"/>
  <c r="AJ14" i="48"/>
  <c r="AI14" i="48"/>
  <c r="AH14" i="48"/>
  <c r="AG14" i="48"/>
  <c r="AF14" i="48"/>
  <c r="AE14" i="48"/>
  <c r="AD14" i="48"/>
  <c r="AC14" i="48"/>
  <c r="AB14" i="48"/>
  <c r="AA14" i="48"/>
  <c r="Z14" i="48"/>
  <c r="Y14" i="48"/>
  <c r="X14" i="48"/>
  <c r="W14" i="48"/>
  <c r="V14" i="48"/>
  <c r="U14" i="48"/>
  <c r="T14" i="48"/>
  <c r="S14" i="48"/>
  <c r="AK14" i="48" s="1"/>
  <c r="S13" i="48"/>
  <c r="X11" i="48"/>
  <c r="W11" i="48"/>
  <c r="V11" i="48"/>
  <c r="U11" i="48"/>
  <c r="T11" i="48"/>
  <c r="S11" i="48"/>
  <c r="W10" i="48"/>
  <c r="V10" i="48"/>
  <c r="U10" i="48"/>
  <c r="T10" i="48"/>
  <c r="S10" i="48"/>
  <c r="T9" i="48"/>
  <c r="S9" i="48"/>
  <c r="T24" i="48"/>
  <c r="T25" i="48"/>
  <c r="A1" i="61"/>
  <c r="T49" i="61"/>
  <c r="M49" i="61"/>
  <c r="F49" i="61"/>
  <c r="T47" i="61"/>
  <c r="M47" i="61"/>
  <c r="F47" i="61"/>
  <c r="M41" i="61"/>
  <c r="M40" i="61"/>
  <c r="F40" i="61"/>
  <c r="T39" i="61"/>
  <c r="M39" i="61"/>
  <c r="F39" i="61"/>
  <c r="C4" i="13"/>
  <c r="T58" i="61"/>
  <c r="M58" i="61"/>
  <c r="F58" i="61"/>
  <c r="T57" i="61"/>
  <c r="M57" i="61"/>
  <c r="F57" i="61"/>
  <c r="T56" i="61"/>
  <c r="M56" i="61"/>
  <c r="F56" i="61"/>
  <c r="T33" i="61"/>
  <c r="M33" i="61"/>
  <c r="F33" i="61"/>
  <c r="T32" i="61"/>
  <c r="M32" i="61"/>
  <c r="F32" i="61"/>
  <c r="T31" i="61"/>
  <c r="M31" i="61"/>
  <c r="F31" i="61"/>
  <c r="T25" i="61"/>
  <c r="M25" i="61"/>
  <c r="F25" i="61"/>
  <c r="T24" i="61"/>
  <c r="T48" i="61" s="1"/>
  <c r="M24" i="61"/>
  <c r="M48" i="61" s="1"/>
  <c r="F24" i="61"/>
  <c r="F48" i="61" s="1"/>
  <c r="T17" i="61"/>
  <c r="T41" i="61" s="1"/>
  <c r="M17" i="61"/>
  <c r="F17" i="61"/>
  <c r="F41" i="61" s="1"/>
  <c r="T16" i="61"/>
  <c r="T40" i="61" s="1"/>
  <c r="F16" i="61"/>
  <c r="T15" i="61"/>
  <c r="T23" i="61" s="1"/>
  <c r="M15" i="61"/>
  <c r="M23" i="61" s="1"/>
  <c r="F15" i="61"/>
  <c r="F23" i="61" s="1"/>
  <c r="U9" i="61"/>
  <c r="S9" i="61"/>
  <c r="P17" i="61" s="1"/>
  <c r="N9" i="61"/>
  <c r="L9" i="61"/>
  <c r="I17" i="61" s="1"/>
  <c r="G9" i="61"/>
  <c r="E9" i="61"/>
  <c r="B17" i="61" s="1"/>
  <c r="U8" i="61"/>
  <c r="S8" i="61"/>
  <c r="P16" i="61" s="1"/>
  <c r="U16" i="61" s="1"/>
  <c r="N8" i="61"/>
  <c r="L8" i="61"/>
  <c r="I16" i="61" s="1"/>
  <c r="G8" i="61"/>
  <c r="E8" i="61"/>
  <c r="B16" i="61" s="1"/>
  <c r="U7" i="61"/>
  <c r="S7" i="61"/>
  <c r="P15" i="61" s="1"/>
  <c r="N7" i="61"/>
  <c r="L7" i="61"/>
  <c r="I15" i="61" s="1"/>
  <c r="G7" i="61"/>
  <c r="E7" i="61"/>
  <c r="B15" i="61" s="1"/>
  <c r="AK20" i="48" l="1"/>
  <c r="AK22" i="48"/>
  <c r="AK23" i="48"/>
  <c r="C5" i="62"/>
  <c r="C8" i="62" s="1"/>
  <c r="D5" i="62" s="1"/>
  <c r="D8" i="62" s="1"/>
  <c r="E5" i="62" s="1"/>
  <c r="E8" i="62" s="1"/>
  <c r="F5" i="62" s="1"/>
  <c r="F8" i="62" s="1"/>
  <c r="G5" i="62" s="1"/>
  <c r="G8" i="62" s="1"/>
  <c r="H5" i="62" s="1"/>
  <c r="H8" i="62" s="1"/>
  <c r="I5" i="62" s="1"/>
  <c r="I8" i="62" s="1"/>
  <c r="J5" i="62" s="1"/>
  <c r="J8" i="62" s="1"/>
  <c r="K5" i="62" s="1"/>
  <c r="K8" i="62" s="1"/>
  <c r="L5" i="62" s="1"/>
  <c r="L8" i="62" s="1"/>
  <c r="M5" i="62" s="1"/>
  <c r="M8" i="62" s="1"/>
  <c r="N5" i="62" s="1"/>
  <c r="N8" i="62" s="1"/>
  <c r="O5" i="62" s="1"/>
  <c r="O8" i="62" s="1"/>
  <c r="P5" i="62" s="1"/>
  <c r="P8" i="62" s="1"/>
  <c r="Q5" i="62" s="1"/>
  <c r="Q8" i="62" s="1"/>
  <c r="R5" i="62" s="1"/>
  <c r="R8" i="62" s="1"/>
  <c r="S5" i="62" s="1"/>
  <c r="S8" i="62" s="1"/>
  <c r="T5" i="62" s="1"/>
  <c r="T8" i="62" s="1"/>
  <c r="C26" i="62"/>
  <c r="C28" i="62" s="1"/>
  <c r="B28" i="62"/>
  <c r="C19" i="62"/>
  <c r="D14" i="62"/>
  <c r="D17" i="62" s="1"/>
  <c r="B19" i="62"/>
  <c r="F9" i="62"/>
  <c r="D10" i="62"/>
  <c r="U15" i="61"/>
  <c r="U10" i="61"/>
  <c r="W8" i="61"/>
  <c r="N10" i="61"/>
  <c r="N17" i="61"/>
  <c r="L17" i="61"/>
  <c r="I25" i="61" s="1"/>
  <c r="G15" i="61"/>
  <c r="E15" i="61"/>
  <c r="B23" i="61" s="1"/>
  <c r="S17" i="61"/>
  <c r="P25" i="61" s="1"/>
  <c r="U17" i="61"/>
  <c r="N15" i="61"/>
  <c r="L15" i="61"/>
  <c r="I23" i="61" s="1"/>
  <c r="G16" i="61"/>
  <c r="E16" i="61"/>
  <c r="B24" i="61" s="1"/>
  <c r="L16" i="61"/>
  <c r="I24" i="61" s="1"/>
  <c r="N16" i="61"/>
  <c r="G17" i="61"/>
  <c r="E17" i="61"/>
  <c r="B25" i="61" s="1"/>
  <c r="S15" i="61"/>
  <c r="P23" i="61" s="1"/>
  <c r="S16" i="61"/>
  <c r="P24" i="61" s="1"/>
  <c r="W7" i="61"/>
  <c r="W9" i="61"/>
  <c r="G10" i="61"/>
  <c r="E10" i="62" l="1"/>
  <c r="B30" i="62"/>
  <c r="C10" i="62"/>
  <c r="C30" i="62" s="1"/>
  <c r="D36" i="64" s="1"/>
  <c r="D23" i="62"/>
  <c r="D26" i="62" s="1"/>
  <c r="D28" i="62" s="1"/>
  <c r="D30" i="62" s="1"/>
  <c r="E36" i="64" s="1"/>
  <c r="D19" i="62"/>
  <c r="E14" i="62"/>
  <c r="E17" i="62" s="1"/>
  <c r="G9" i="62"/>
  <c r="F10" i="62"/>
  <c r="N24" i="61"/>
  <c r="L24" i="61"/>
  <c r="I32" i="61" s="1"/>
  <c r="W10" i="61"/>
  <c r="U18" i="61"/>
  <c r="U24" i="61"/>
  <c r="S24" i="61"/>
  <c r="P32" i="61" s="1"/>
  <c r="U23" i="61"/>
  <c r="S23" i="61"/>
  <c r="P31" i="61" s="1"/>
  <c r="G25" i="61"/>
  <c r="E25" i="61"/>
  <c r="B33" i="61" s="1"/>
  <c r="W17" i="61"/>
  <c r="E23" i="61"/>
  <c r="B31" i="61" s="1"/>
  <c r="G23" i="61"/>
  <c r="W15" i="61"/>
  <c r="G18" i="61"/>
  <c r="N23" i="61"/>
  <c r="L23" i="61"/>
  <c r="I31" i="61" s="1"/>
  <c r="N25" i="61"/>
  <c r="L25" i="61"/>
  <c r="I33" i="61" s="1"/>
  <c r="G24" i="61"/>
  <c r="E24" i="61"/>
  <c r="B32" i="61" s="1"/>
  <c r="N18" i="61"/>
  <c r="W16" i="61"/>
  <c r="U25" i="61"/>
  <c r="S25" i="61"/>
  <c r="P33" i="61" s="1"/>
  <c r="D74" i="64" l="1"/>
  <c r="C36" i="64"/>
  <c r="C8" i="33"/>
  <c r="C74" i="64"/>
  <c r="E23" i="62"/>
  <c r="E26" i="62" s="1"/>
  <c r="F23" i="62" s="1"/>
  <c r="F26" i="62" s="1"/>
  <c r="E19" i="62"/>
  <c r="F14" i="62"/>
  <c r="F17" i="62" s="1"/>
  <c r="H9" i="62"/>
  <c r="G10" i="62"/>
  <c r="E31" i="61"/>
  <c r="G31" i="61"/>
  <c r="G56" i="61" s="1"/>
  <c r="U26" i="61"/>
  <c r="N26" i="61"/>
  <c r="N31" i="61"/>
  <c r="L31" i="61"/>
  <c r="E33" i="61"/>
  <c r="G33" i="61"/>
  <c r="G58" i="61" s="1"/>
  <c r="W25" i="61"/>
  <c r="X10" i="61"/>
  <c r="N32" i="61"/>
  <c r="N57" i="61" s="1"/>
  <c r="L32" i="61"/>
  <c r="U33" i="61"/>
  <c r="U58" i="61" s="1"/>
  <c r="S33" i="61"/>
  <c r="W18" i="61"/>
  <c r="W24" i="61"/>
  <c r="U32" i="61"/>
  <c r="U57" i="61" s="1"/>
  <c r="S32" i="61"/>
  <c r="E32" i="61"/>
  <c r="G32" i="61"/>
  <c r="G57" i="61" s="1"/>
  <c r="N33" i="61"/>
  <c r="N58" i="61" s="1"/>
  <c r="L33" i="61"/>
  <c r="W23" i="61"/>
  <c r="G26" i="61"/>
  <c r="U31" i="61"/>
  <c r="S31" i="61"/>
  <c r="B74" i="64" l="1"/>
  <c r="E28" i="62"/>
  <c r="E30" i="62" s="1"/>
  <c r="F36" i="64" s="1"/>
  <c r="F28" i="62"/>
  <c r="F30" i="62" s="1"/>
  <c r="G36" i="64" s="1"/>
  <c r="F74" i="64" s="1"/>
  <c r="G23" i="62"/>
  <c r="G26" i="62" s="1"/>
  <c r="F19" i="62"/>
  <c r="G14" i="62"/>
  <c r="G17" i="62" s="1"/>
  <c r="I9" i="62"/>
  <c r="H10" i="62"/>
  <c r="I58" i="61"/>
  <c r="L58" i="61" s="1"/>
  <c r="I41" i="61"/>
  <c r="B58" i="61"/>
  <c r="E58" i="61" s="1"/>
  <c r="B41" i="61"/>
  <c r="P58" i="61"/>
  <c r="S58" i="61" s="1"/>
  <c r="P41" i="61"/>
  <c r="P57" i="61"/>
  <c r="S57" i="61" s="1"/>
  <c r="P40" i="61"/>
  <c r="P56" i="61"/>
  <c r="S56" i="61" s="1"/>
  <c r="P39" i="61"/>
  <c r="I57" i="61"/>
  <c r="L57" i="61" s="1"/>
  <c r="I40" i="61"/>
  <c r="I56" i="61"/>
  <c r="L56" i="61" s="1"/>
  <c r="I39" i="61"/>
  <c r="B57" i="61"/>
  <c r="E57" i="61" s="1"/>
  <c r="B40" i="61"/>
  <c r="B56" i="61"/>
  <c r="E56" i="61" s="1"/>
  <c r="B39" i="61"/>
  <c r="N34" i="61"/>
  <c r="U34" i="61"/>
  <c r="N56" i="61"/>
  <c r="N59" i="61" s="1"/>
  <c r="U56" i="61"/>
  <c r="U59" i="61" s="1"/>
  <c r="G59" i="61"/>
  <c r="W58" i="61"/>
  <c r="W33" i="61"/>
  <c r="X18" i="61"/>
  <c r="W32" i="61"/>
  <c r="W31" i="61"/>
  <c r="G34" i="61"/>
  <c r="W57" i="61"/>
  <c r="W26" i="61"/>
  <c r="E74" i="64" l="1"/>
  <c r="G28" i="62"/>
  <c r="G30" i="62" s="1"/>
  <c r="H36" i="64" s="1"/>
  <c r="H23" i="62"/>
  <c r="H26" i="62" s="1"/>
  <c r="G19" i="62"/>
  <c r="H14" i="62"/>
  <c r="H17" i="62" s="1"/>
  <c r="J9" i="62"/>
  <c r="I10" i="62"/>
  <c r="S41" i="61"/>
  <c r="P49" i="61" s="1"/>
  <c r="U41" i="61"/>
  <c r="E41" i="61"/>
  <c r="B49" i="61" s="1"/>
  <c r="G41" i="61"/>
  <c r="L41" i="61"/>
  <c r="I49" i="61" s="1"/>
  <c r="N41" i="61"/>
  <c r="S40" i="61"/>
  <c r="P48" i="61" s="1"/>
  <c r="U40" i="61"/>
  <c r="U60" i="61"/>
  <c r="S39" i="61"/>
  <c r="P47" i="61" s="1"/>
  <c r="U39" i="61"/>
  <c r="U42" i="61" s="1"/>
  <c r="N40" i="61"/>
  <c r="L40" i="61"/>
  <c r="I48" i="61" s="1"/>
  <c r="N39" i="61"/>
  <c r="L39" i="61"/>
  <c r="I47" i="61" s="1"/>
  <c r="G40" i="61"/>
  <c r="E40" i="61"/>
  <c r="B48" i="61" s="1"/>
  <c r="G39" i="61"/>
  <c r="E39" i="61"/>
  <c r="B47" i="61" s="1"/>
  <c r="W56" i="61"/>
  <c r="W59" i="61" s="1"/>
  <c r="X59" i="61" s="1"/>
  <c r="N60" i="61"/>
  <c r="G60" i="61"/>
  <c r="X26" i="61"/>
  <c r="W34" i="61"/>
  <c r="G74" i="64" l="1"/>
  <c r="D8" i="33"/>
  <c r="H28" i="62"/>
  <c r="H30" i="62" s="1"/>
  <c r="I36" i="64" s="1"/>
  <c r="H74" i="64" s="1"/>
  <c r="I23" i="62"/>
  <c r="I26" i="62" s="1"/>
  <c r="H19" i="62"/>
  <c r="I14" i="62"/>
  <c r="I17" i="62" s="1"/>
  <c r="K9" i="62"/>
  <c r="J10" i="62"/>
  <c r="E49" i="61"/>
  <c r="G49" i="61"/>
  <c r="W41" i="61"/>
  <c r="N49" i="61"/>
  <c r="L49" i="61"/>
  <c r="U49" i="61"/>
  <c r="S49" i="61"/>
  <c r="W40" i="61"/>
  <c r="N42" i="61"/>
  <c r="U48" i="61"/>
  <c r="S48" i="61"/>
  <c r="S47" i="61"/>
  <c r="U47" i="61"/>
  <c r="N48" i="61"/>
  <c r="L48" i="61"/>
  <c r="N47" i="61"/>
  <c r="L47" i="61"/>
  <c r="X60" i="61"/>
  <c r="E48" i="61"/>
  <c r="G48" i="61"/>
  <c r="G47" i="61"/>
  <c r="E47" i="61"/>
  <c r="G42" i="61"/>
  <c r="W39" i="61"/>
  <c r="W42" i="61" s="1"/>
  <c r="X34" i="61"/>
  <c r="J23" i="62" l="1"/>
  <c r="J26" i="62" s="1"/>
  <c r="I28" i="62"/>
  <c r="I30" i="62" s="1"/>
  <c r="J36" i="64" s="1"/>
  <c r="J14" i="62"/>
  <c r="J17" i="62" s="1"/>
  <c r="I19" i="62"/>
  <c r="L9" i="62"/>
  <c r="K10" i="62"/>
  <c r="W49" i="61"/>
  <c r="U50" i="61"/>
  <c r="N50" i="61"/>
  <c r="W48" i="61"/>
  <c r="X42" i="61"/>
  <c r="G50" i="61"/>
  <c r="W47" i="61"/>
  <c r="I74" i="64" l="1"/>
  <c r="K23" i="62"/>
  <c r="K26" i="62" s="1"/>
  <c r="J28" i="62"/>
  <c r="J19" i="62"/>
  <c r="K14" i="62"/>
  <c r="K17" i="62" s="1"/>
  <c r="L10" i="62"/>
  <c r="M9" i="62"/>
  <c r="W50" i="61"/>
  <c r="X50" i="61"/>
  <c r="J30" i="62" l="1"/>
  <c r="K36" i="64"/>
  <c r="E8" i="33"/>
  <c r="L23" i="62"/>
  <c r="L26" i="62" s="1"/>
  <c r="K28" i="62"/>
  <c r="L14" i="62"/>
  <c r="L17" i="62" s="1"/>
  <c r="K19" i="62"/>
  <c r="M10" i="62"/>
  <c r="N9" i="62"/>
  <c r="K30" i="62" l="1"/>
  <c r="L36" i="64" s="1"/>
  <c r="K74" i="64" s="1"/>
  <c r="J74" i="64"/>
  <c r="M23" i="62"/>
  <c r="M26" i="62" s="1"/>
  <c r="L28" i="62"/>
  <c r="M14" i="62"/>
  <c r="M17" i="62" s="1"/>
  <c r="L19" i="62"/>
  <c r="N10" i="62"/>
  <c r="O9" i="62"/>
  <c r="L30" i="62" l="1"/>
  <c r="M36" i="64" s="1"/>
  <c r="L74" i="64" s="1"/>
  <c r="N23" i="62"/>
  <c r="N26" i="62" s="1"/>
  <c r="M28" i="62"/>
  <c r="N14" i="62"/>
  <c r="N17" i="62" s="1"/>
  <c r="M19" i="62"/>
  <c r="O10" i="62"/>
  <c r="P9" i="62"/>
  <c r="M30" i="62" l="1"/>
  <c r="N36" i="64" s="1"/>
  <c r="M74" i="64" s="1"/>
  <c r="F8" i="33"/>
  <c r="O23" i="62"/>
  <c r="O26" i="62" s="1"/>
  <c r="N28" i="62"/>
  <c r="O14" i="62"/>
  <c r="O17" i="62" s="1"/>
  <c r="N19" i="62"/>
  <c r="Q9" i="62"/>
  <c r="P10" i="62"/>
  <c r="N30" i="62" l="1"/>
  <c r="O36" i="64" s="1"/>
  <c r="N74" i="64"/>
  <c r="O28" i="62"/>
  <c r="P23" i="62"/>
  <c r="P26" i="62" s="1"/>
  <c r="O19" i="62"/>
  <c r="P14" i="62"/>
  <c r="P17" i="62" s="1"/>
  <c r="R9" i="62"/>
  <c r="Q10" i="62"/>
  <c r="O30" i="62" l="1"/>
  <c r="P36" i="64" s="1"/>
  <c r="Q23" i="62"/>
  <c r="Q26" i="62" s="1"/>
  <c r="P28" i="62"/>
  <c r="P19" i="62"/>
  <c r="Q14" i="62"/>
  <c r="Q17" i="62" s="1"/>
  <c r="S9" i="62"/>
  <c r="S10" i="62" s="1"/>
  <c r="R10" i="62"/>
  <c r="P30" i="62" l="1"/>
  <c r="Q36" i="64" s="1"/>
  <c r="I8" i="33"/>
  <c r="Q28" i="62"/>
  <c r="R23" i="62"/>
  <c r="R26" i="62" s="1"/>
  <c r="Q19" i="62"/>
  <c r="R14" i="62"/>
  <c r="R17" i="62" s="1"/>
  <c r="T10" i="62"/>
  <c r="Q30" i="62" l="1"/>
  <c r="R36" i="64" s="1"/>
  <c r="R28" i="62"/>
  <c r="S23" i="62"/>
  <c r="S26" i="62" s="1"/>
  <c r="R19" i="62"/>
  <c r="S14" i="62"/>
  <c r="S17" i="62" s="1"/>
  <c r="O74" i="64" l="1"/>
  <c r="R30" i="62"/>
  <c r="S36" i="64" s="1"/>
  <c r="P74" i="64" s="1"/>
  <c r="S28" i="62"/>
  <c r="T23" i="62"/>
  <c r="T26" i="62" s="1"/>
  <c r="S19" i="62"/>
  <c r="T14" i="62"/>
  <c r="T17" i="62" s="1"/>
  <c r="T19" i="62" l="1"/>
  <c r="S30" i="62"/>
  <c r="T28" i="62"/>
  <c r="T30" i="62" l="1"/>
  <c r="T36" i="64"/>
  <c r="J8" i="33"/>
  <c r="C32" i="56"/>
  <c r="D32" i="56" s="1"/>
  <c r="E32" i="56" s="1"/>
  <c r="G32" i="56" s="1"/>
  <c r="H32" i="56" s="1"/>
  <c r="I32" i="56" s="1"/>
  <c r="J32" i="56" s="1"/>
  <c r="C33" i="56"/>
  <c r="D33" i="56" s="1"/>
  <c r="E33" i="56" s="1"/>
  <c r="G33" i="56" s="1"/>
  <c r="H33" i="56" s="1"/>
  <c r="I33" i="56" s="1"/>
  <c r="J33" i="56" s="1"/>
  <c r="B34" i="56"/>
  <c r="B37" i="56" s="1"/>
  <c r="C35" i="56"/>
  <c r="D35" i="56" s="1"/>
  <c r="E35" i="56" s="1"/>
  <c r="G35" i="56" s="1"/>
  <c r="H35" i="56" s="1"/>
  <c r="I35" i="56" s="1"/>
  <c r="J35" i="56" s="1"/>
  <c r="C36" i="56"/>
  <c r="D36" i="56" s="1"/>
  <c r="E36" i="56" s="1"/>
  <c r="G36" i="56" s="1"/>
  <c r="H36" i="56" s="1"/>
  <c r="I36" i="56" s="1"/>
  <c r="J36" i="56" s="1"/>
  <c r="Q74" i="64" l="1"/>
  <c r="U36" i="64"/>
  <c r="C34" i="56"/>
  <c r="D34" i="56" s="1"/>
  <c r="E34" i="56"/>
  <c r="D37" i="56"/>
  <c r="C37" i="56"/>
  <c r="W36" i="64" l="1"/>
  <c r="G34" i="56"/>
  <c r="E37" i="56"/>
  <c r="J20" i="48"/>
  <c r="I20" i="48"/>
  <c r="H20" i="48"/>
  <c r="G20" i="48"/>
  <c r="F20" i="48"/>
  <c r="F19" i="48"/>
  <c r="G19" i="48"/>
  <c r="H19" i="48"/>
  <c r="I19" i="48"/>
  <c r="J19" i="48"/>
  <c r="K20" i="48" l="1"/>
  <c r="L20" i="48" s="1"/>
  <c r="O20" i="48" s="1"/>
  <c r="G37" i="56"/>
  <c r="H34" i="56"/>
  <c r="K19" i="48"/>
  <c r="L19" i="48" s="1"/>
  <c r="O19" i="48" s="1"/>
  <c r="I34" i="56" l="1"/>
  <c r="H37" i="56"/>
  <c r="E7" i="56"/>
  <c r="H7" i="56"/>
  <c r="C6" i="56"/>
  <c r="E5" i="56"/>
  <c r="G5" i="56" s="1"/>
  <c r="I5" i="56"/>
  <c r="J5" i="56" s="1"/>
  <c r="C5" i="56"/>
  <c r="J34" i="56" l="1"/>
  <c r="J37" i="56" s="1"/>
  <c r="I37" i="56"/>
  <c r="I7" i="56"/>
  <c r="J7" i="56" s="1"/>
  <c r="D6" i="56"/>
  <c r="E6" i="56" l="1"/>
  <c r="G6" i="56" l="1"/>
  <c r="H6" i="56" s="1"/>
  <c r="I6" i="56" s="1"/>
  <c r="J6" i="56" s="1"/>
  <c r="C29" i="56" l="1"/>
  <c r="C16" i="56" s="1"/>
  <c r="B8" i="56"/>
  <c r="B9" i="56" s="1"/>
  <c r="B29" i="56"/>
  <c r="B16" i="56" s="1"/>
  <c r="B28" i="56"/>
  <c r="C8" i="56"/>
  <c r="C9" i="56" s="1"/>
  <c r="C26" i="56" l="1"/>
  <c r="C10" i="56" s="1"/>
  <c r="C28" i="56"/>
  <c r="B26" i="56"/>
  <c r="B10" i="56" s="1"/>
  <c r="D29" i="56"/>
  <c r="D16" i="56" s="1"/>
  <c r="D8" i="56"/>
  <c r="D9" i="56" s="1"/>
  <c r="B17" i="56"/>
  <c r="B18" i="56" s="1"/>
  <c r="C17" i="56"/>
  <c r="C18" i="56" s="1"/>
  <c r="D28" i="56"/>
  <c r="B20" i="56" l="1"/>
  <c r="D26" i="56"/>
  <c r="C20" i="56"/>
  <c r="D17" i="56"/>
  <c r="D18" i="56" s="1"/>
  <c r="D20" i="56" s="1"/>
  <c r="E26" i="56" l="1"/>
  <c r="E29" i="56"/>
  <c r="E16" i="56" s="1"/>
  <c r="E28" i="56"/>
  <c r="E8" i="56"/>
  <c r="E9" i="56" s="1"/>
  <c r="G29" i="56" l="1"/>
  <c r="G28" i="56"/>
  <c r="G26" i="56"/>
  <c r="G8" i="56"/>
  <c r="G9" i="56" s="1"/>
  <c r="E17" i="56"/>
  <c r="E18" i="56" s="1"/>
  <c r="E20" i="56" s="1"/>
  <c r="H28" i="56" l="1"/>
  <c r="H29" i="56"/>
  <c r="H26" i="56"/>
  <c r="G16" i="56"/>
  <c r="G17" i="56" s="1"/>
  <c r="G18" i="56" s="1"/>
  <c r="G20" i="56" s="1"/>
  <c r="H8" i="56"/>
  <c r="H9" i="56" s="1"/>
  <c r="I28" i="56" l="1"/>
  <c r="I29" i="56"/>
  <c r="I16" i="56" s="1"/>
  <c r="I26" i="56"/>
  <c r="H16" i="56"/>
  <c r="H17" i="56" s="1"/>
  <c r="H18" i="56" s="1"/>
  <c r="H20" i="56" s="1"/>
  <c r="I8" i="56"/>
  <c r="I9" i="56" s="1"/>
  <c r="I17" i="56" l="1"/>
  <c r="I18" i="56" s="1"/>
  <c r="I20" i="56" l="1"/>
  <c r="J4" i="13"/>
  <c r="K4" i="13" s="1"/>
  <c r="L4" i="13" s="1"/>
  <c r="J5" i="13"/>
  <c r="K5" i="13" s="1"/>
  <c r="M26" i="48"/>
  <c r="J22" i="48"/>
  <c r="H22" i="48"/>
  <c r="K22" i="48" l="1"/>
  <c r="L22" i="48" s="1"/>
  <c r="O22" i="48" s="1"/>
  <c r="M4" i="13"/>
  <c r="L5" i="13"/>
  <c r="M5" i="13" s="1"/>
  <c r="J11" i="48" l="1"/>
  <c r="I11" i="48"/>
  <c r="H11" i="48"/>
  <c r="G11" i="48"/>
  <c r="F11" i="48"/>
  <c r="J10" i="48"/>
  <c r="I10" i="48"/>
  <c r="H10" i="48"/>
  <c r="G10" i="48"/>
  <c r="F10" i="48"/>
  <c r="J13" i="48"/>
  <c r="I13" i="48"/>
  <c r="H13" i="48"/>
  <c r="G13" i="48"/>
  <c r="F13" i="48"/>
  <c r="K11" i="48" l="1"/>
  <c r="L11" i="48" s="1"/>
  <c r="O11" i="48" s="1"/>
  <c r="K10" i="48"/>
  <c r="L10" i="48" s="1"/>
  <c r="J16" i="48"/>
  <c r="I16" i="48"/>
  <c r="H16" i="48"/>
  <c r="G16" i="48"/>
  <c r="F16" i="48"/>
  <c r="K16" i="48" l="1"/>
  <c r="L16" i="48" s="1"/>
  <c r="O16" i="48" s="1"/>
  <c r="G6" i="48" l="1"/>
  <c r="G8" i="48"/>
  <c r="G9" i="48"/>
  <c r="G18" i="48"/>
  <c r="G15" i="48"/>
  <c r="G12" i="48"/>
  <c r="H23" i="48" l="1"/>
  <c r="H21" i="48"/>
  <c r="J29" i="56" l="1"/>
  <c r="J16" i="56" s="1"/>
  <c r="J8" i="56"/>
  <c r="J9" i="56" s="1"/>
  <c r="J23" i="48"/>
  <c r="J12" i="48"/>
  <c r="I12" i="48"/>
  <c r="H12" i="48"/>
  <c r="F12" i="48"/>
  <c r="J9" i="48"/>
  <c r="I9" i="48"/>
  <c r="H9" i="48"/>
  <c r="F9" i="48"/>
  <c r="J28" i="56" l="1"/>
  <c r="J26" i="56"/>
  <c r="J17" i="56"/>
  <c r="J18" i="56" s="1"/>
  <c r="O10" i="48"/>
  <c r="K23" i="48"/>
  <c r="L23" i="48" s="1"/>
  <c r="K9" i="48"/>
  <c r="K12" i="48"/>
  <c r="J20" i="56" l="1"/>
  <c r="L9" i="48"/>
  <c r="O9" i="48" s="1"/>
  <c r="L12" i="48"/>
  <c r="O12" i="48" s="1"/>
  <c r="O23" i="48"/>
  <c r="J21" i="48" l="1"/>
  <c r="K13" i="48" l="1"/>
  <c r="K21" i="48"/>
  <c r="G7" i="48"/>
  <c r="L21" i="48" l="1"/>
  <c r="O21" i="48" s="1"/>
  <c r="L13" i="48"/>
  <c r="O13" i="48" s="1"/>
  <c r="J18" i="48" l="1"/>
  <c r="I18" i="48"/>
  <c r="H18" i="48"/>
  <c r="F18" i="48"/>
  <c r="K18" i="48" l="1"/>
  <c r="I10" i="33" l="1"/>
  <c r="L18" i="48"/>
  <c r="O18" i="48" s="1"/>
  <c r="C10" i="33" l="1"/>
  <c r="D10" i="33"/>
  <c r="I15" i="48"/>
  <c r="I8" i="48"/>
  <c r="I7" i="48"/>
  <c r="I6" i="48"/>
  <c r="K22" i="49"/>
  <c r="L22" i="49" s="1"/>
  <c r="P22" i="49" s="1"/>
  <c r="K23" i="49"/>
  <c r="L23" i="49" s="1"/>
  <c r="P23" i="49" s="1"/>
  <c r="J10" i="33" l="1"/>
  <c r="E10" i="33"/>
  <c r="F12" i="49"/>
  <c r="G12" i="49"/>
  <c r="H12" i="49"/>
  <c r="I12" i="49"/>
  <c r="J12" i="49"/>
  <c r="O12" i="49"/>
  <c r="K24" i="49"/>
  <c r="L24" i="49" s="1"/>
  <c r="K25" i="49"/>
  <c r="L25" i="49" s="1"/>
  <c r="K21" i="49"/>
  <c r="F7" i="49"/>
  <c r="G7" i="49"/>
  <c r="H7" i="49"/>
  <c r="I7" i="49"/>
  <c r="J7" i="49"/>
  <c r="N7" i="49"/>
  <c r="O7" i="49"/>
  <c r="E8" i="49"/>
  <c r="F8" i="49" s="1"/>
  <c r="N8" i="49"/>
  <c r="F9" i="49"/>
  <c r="G9" i="49"/>
  <c r="H9" i="49"/>
  <c r="I9" i="49"/>
  <c r="J9" i="49"/>
  <c r="N9" i="49"/>
  <c r="O9" i="49"/>
  <c r="F10" i="49"/>
  <c r="G10" i="49"/>
  <c r="H10" i="49"/>
  <c r="I10" i="49"/>
  <c r="J10" i="49"/>
  <c r="N10" i="49"/>
  <c r="O10" i="49"/>
  <c r="F11" i="49"/>
  <c r="G11" i="49"/>
  <c r="H11" i="49"/>
  <c r="I11" i="49"/>
  <c r="J11" i="49"/>
  <c r="N11" i="49"/>
  <c r="O11" i="49"/>
  <c r="M14" i="49"/>
  <c r="F24" i="49"/>
  <c r="G24" i="49"/>
  <c r="H24" i="49"/>
  <c r="I24" i="49"/>
  <c r="J24" i="49"/>
  <c r="O24" i="49"/>
  <c r="P24" i="49" s="1"/>
  <c r="F25" i="49"/>
  <c r="G25" i="49"/>
  <c r="H25" i="49"/>
  <c r="I25" i="49"/>
  <c r="J25" i="49"/>
  <c r="O25" i="49"/>
  <c r="E28" i="49"/>
  <c r="M28" i="49"/>
  <c r="K11" i="49" l="1"/>
  <c r="L11" i="49" s="1"/>
  <c r="P11" i="49" s="1"/>
  <c r="P25" i="49"/>
  <c r="K12" i="49"/>
  <c r="L12" i="49" s="1"/>
  <c r="P12" i="49" s="1"/>
  <c r="K8" i="33"/>
  <c r="K7" i="49"/>
  <c r="L7" i="49" s="1"/>
  <c r="E14" i="49"/>
  <c r="I8" i="49"/>
  <c r="I14" i="49" s="1"/>
  <c r="I28" i="49"/>
  <c r="K10" i="49"/>
  <c r="L10" i="49" s="1"/>
  <c r="P10" i="49" s="1"/>
  <c r="N14" i="49"/>
  <c r="H8" i="49"/>
  <c r="H14" i="49" s="1"/>
  <c r="N28" i="49"/>
  <c r="L21" i="49"/>
  <c r="K9" i="49"/>
  <c r="L9" i="49" s="1"/>
  <c r="P9" i="49" s="1"/>
  <c r="F28" i="49"/>
  <c r="F14" i="49"/>
  <c r="H28" i="49"/>
  <c r="G28" i="49"/>
  <c r="G8" i="49"/>
  <c r="G14" i="49" s="1"/>
  <c r="J28" i="49"/>
  <c r="O8" i="49"/>
  <c r="J8" i="49"/>
  <c r="J14" i="49" s="1"/>
  <c r="K10" i="33" l="1"/>
  <c r="F10" i="33"/>
  <c r="G8" i="33"/>
  <c r="M8" i="33" s="1"/>
  <c r="O8" i="33" s="1"/>
  <c r="K8" i="49"/>
  <c r="L8" i="49" s="1"/>
  <c r="L14" i="49" s="1"/>
  <c r="P7" i="49"/>
  <c r="P21" i="49"/>
  <c r="O14" i="49"/>
  <c r="O28" i="49"/>
  <c r="M10" i="33" l="1"/>
  <c r="N8" i="33" s="1"/>
  <c r="G10" i="33"/>
  <c r="K14" i="49"/>
  <c r="P8" i="49"/>
  <c r="P14" i="49" s="1"/>
  <c r="K28" i="49"/>
  <c r="N10" i="33" l="1"/>
  <c r="L28" i="49"/>
  <c r="P28" i="49" l="1"/>
  <c r="C5" i="13" l="1"/>
  <c r="D5" i="13" s="1"/>
  <c r="E5" i="13" s="1"/>
  <c r="J15" i="48"/>
  <c r="H15" i="48"/>
  <c r="F15" i="48"/>
  <c r="J8" i="48"/>
  <c r="H8" i="48"/>
  <c r="F8" i="48"/>
  <c r="J7" i="48"/>
  <c r="H7" i="48"/>
  <c r="F7" i="48"/>
  <c r="E26" i="48"/>
  <c r="J6" i="48"/>
  <c r="H6" i="48"/>
  <c r="F6" i="48"/>
  <c r="H26" i="48" l="1"/>
  <c r="K7" i="48"/>
  <c r="K6" i="48"/>
  <c r="L6" i="48" s="1"/>
  <c r="F26" i="48"/>
  <c r="G26" i="48"/>
  <c r="N26" i="48"/>
  <c r="J26" i="48"/>
  <c r="K15" i="48"/>
  <c r="K8" i="48"/>
  <c r="I26" i="48"/>
  <c r="L8" i="48" l="1"/>
  <c r="O8" i="48" s="1"/>
  <c r="L15" i="48"/>
  <c r="O15" i="48" s="1"/>
  <c r="L7" i="48"/>
  <c r="O7" i="48" s="1"/>
  <c r="O6" i="48"/>
  <c r="L26" i="48" l="1"/>
  <c r="K26" i="48"/>
  <c r="O26" i="48"/>
  <c r="T25" i="47" l="1"/>
  <c r="T26" i="47"/>
  <c r="G40" i="36" l="1"/>
  <c r="H40" i="36" s="1"/>
  <c r="J46" i="36"/>
  <c r="I46" i="36"/>
  <c r="K45" i="36"/>
  <c r="H46" i="36"/>
  <c r="G46" i="36"/>
  <c r="K41" i="36"/>
  <c r="H26" i="36"/>
  <c r="I26" i="36" s="1"/>
  <c r="J26" i="36" s="1"/>
  <c r="J23" i="36"/>
  <c r="I23" i="36"/>
  <c r="H23" i="36"/>
  <c r="G23" i="36"/>
  <c r="G42" i="36" l="1"/>
  <c r="I40" i="36"/>
  <c r="H42" i="36"/>
  <c r="K44" i="36"/>
  <c r="K46" i="36" s="1"/>
  <c r="G48" i="36"/>
  <c r="H48" i="36" s="1"/>
  <c r="G50" i="36" l="1"/>
  <c r="I42" i="36"/>
  <c r="J40" i="36"/>
  <c r="I48" i="36"/>
  <c r="H50" i="36"/>
  <c r="J28" i="36"/>
  <c r="I28" i="36"/>
  <c r="H28" i="36"/>
  <c r="G28" i="36"/>
  <c r="J42" i="36" l="1"/>
  <c r="K40" i="36"/>
  <c r="K42" i="36" s="1"/>
  <c r="J48" i="36"/>
  <c r="I50" i="36"/>
  <c r="J50" i="36" l="1"/>
  <c r="C37" i="47" l="1"/>
  <c r="F31" i="47"/>
  <c r="F32" i="47" s="1"/>
  <c r="E31" i="47"/>
  <c r="D31" i="47"/>
  <c r="D32" i="47" s="1"/>
  <c r="D33" i="47" s="1"/>
  <c r="C31" i="47"/>
  <c r="C32" i="47" s="1"/>
  <c r="P33" i="47" l="1"/>
  <c r="F33" i="47"/>
  <c r="R33" i="47" s="1"/>
  <c r="C33" i="47"/>
  <c r="O33" i="47" s="1"/>
  <c r="E32" i="47"/>
  <c r="E33" i="47" l="1"/>
  <c r="Q33" i="47" s="1"/>
  <c r="W8" i="30" l="1"/>
  <c r="AL8" i="30" s="1"/>
  <c r="W7" i="30"/>
  <c r="AL7" i="30" s="1"/>
  <c r="W6" i="30"/>
  <c r="W26" i="30" s="1"/>
  <c r="W5" i="30"/>
  <c r="AL5" i="30" s="1"/>
  <c r="AL25" i="30" s="1"/>
  <c r="Q8" i="30"/>
  <c r="Q7" i="30"/>
  <c r="S16" i="30" s="1"/>
  <c r="Q6" i="30"/>
  <c r="AF6" i="30" s="1"/>
  <c r="Q5" i="30"/>
  <c r="AF5" i="30" s="1"/>
  <c r="BD68" i="30"/>
  <c r="BC68" i="30"/>
  <c r="AX68" i="30"/>
  <c r="AW68" i="30"/>
  <c r="BD67" i="30"/>
  <c r="BC67" i="30"/>
  <c r="AX67" i="30"/>
  <c r="AW67" i="30"/>
  <c r="BD66" i="30"/>
  <c r="BC66" i="30"/>
  <c r="AX66" i="30"/>
  <c r="AW66" i="30"/>
  <c r="BD65" i="30"/>
  <c r="BD69" i="30" s="1"/>
  <c r="BC65" i="30"/>
  <c r="AX65" i="30"/>
  <c r="AX69" i="30" s="1"/>
  <c r="AW65" i="30"/>
  <c r="BD49" i="30"/>
  <c r="BC49" i="30"/>
  <c r="AX49" i="30"/>
  <c r="AW49" i="30"/>
  <c r="BD29" i="30"/>
  <c r="BC29" i="30"/>
  <c r="AX29" i="30"/>
  <c r="AW29" i="30"/>
  <c r="BD9" i="30"/>
  <c r="BC9" i="30"/>
  <c r="AX9" i="30"/>
  <c r="AW9" i="30"/>
  <c r="AO68" i="30"/>
  <c r="AN68" i="30"/>
  <c r="AI68" i="30"/>
  <c r="AH68" i="30"/>
  <c r="AO67" i="30"/>
  <c r="AN67" i="30"/>
  <c r="AI67" i="30"/>
  <c r="AH67" i="30"/>
  <c r="AO66" i="30"/>
  <c r="AN66" i="30"/>
  <c r="AI66" i="30"/>
  <c r="AH66" i="30"/>
  <c r="AO65" i="30"/>
  <c r="AN65" i="30"/>
  <c r="AI65" i="30"/>
  <c r="AH65" i="30"/>
  <c r="AO49" i="30"/>
  <c r="AN49" i="30"/>
  <c r="AI49" i="30"/>
  <c r="AH49" i="30"/>
  <c r="AO29" i="30"/>
  <c r="AN29" i="30"/>
  <c r="AI29" i="30"/>
  <c r="AH29" i="30"/>
  <c r="AO9" i="30"/>
  <c r="AN9" i="30"/>
  <c r="AI9" i="30"/>
  <c r="AH9" i="30"/>
  <c r="Z68" i="30"/>
  <c r="Y68" i="30"/>
  <c r="T68" i="30"/>
  <c r="S68" i="30"/>
  <c r="Z67" i="30"/>
  <c r="Y67" i="30"/>
  <c r="T67" i="30"/>
  <c r="S67" i="30"/>
  <c r="Z66" i="30"/>
  <c r="Y66" i="30"/>
  <c r="T66" i="30"/>
  <c r="S66" i="30"/>
  <c r="Z65" i="30"/>
  <c r="Y65" i="30"/>
  <c r="T65" i="30"/>
  <c r="S65" i="30"/>
  <c r="Z49" i="30"/>
  <c r="Y49" i="30"/>
  <c r="T49" i="30"/>
  <c r="S49" i="30"/>
  <c r="Z29" i="30"/>
  <c r="Y29" i="30"/>
  <c r="T29" i="30"/>
  <c r="S29" i="30"/>
  <c r="S17" i="30"/>
  <c r="Y16" i="30"/>
  <c r="Y15" i="30"/>
  <c r="S14" i="30"/>
  <c r="Z9" i="30"/>
  <c r="Y9" i="30"/>
  <c r="T9" i="30"/>
  <c r="S9" i="30"/>
  <c r="K68" i="30"/>
  <c r="J68" i="30"/>
  <c r="I68" i="30"/>
  <c r="K67" i="30"/>
  <c r="J67" i="30"/>
  <c r="I67" i="30"/>
  <c r="K66" i="30"/>
  <c r="J66" i="30"/>
  <c r="I66" i="30"/>
  <c r="K65" i="30"/>
  <c r="J65" i="30"/>
  <c r="I65" i="30"/>
  <c r="E68" i="30"/>
  <c r="D68" i="30"/>
  <c r="C68" i="30"/>
  <c r="E67" i="30"/>
  <c r="D67" i="30"/>
  <c r="C67" i="30"/>
  <c r="E66" i="30"/>
  <c r="D66" i="30"/>
  <c r="C66" i="30"/>
  <c r="E65" i="30"/>
  <c r="D65" i="30"/>
  <c r="C65" i="30"/>
  <c r="K57" i="30"/>
  <c r="J57" i="30"/>
  <c r="I57" i="30"/>
  <c r="D57" i="30"/>
  <c r="K56" i="30"/>
  <c r="J56" i="30"/>
  <c r="I56" i="30"/>
  <c r="D56" i="30"/>
  <c r="K55" i="30"/>
  <c r="J55" i="30"/>
  <c r="I55" i="30"/>
  <c r="D55" i="30"/>
  <c r="K54" i="30"/>
  <c r="J54" i="30"/>
  <c r="I54" i="30"/>
  <c r="D54" i="30"/>
  <c r="K49" i="30"/>
  <c r="J49" i="30"/>
  <c r="I49" i="30"/>
  <c r="H8" i="47" s="1"/>
  <c r="H49" i="30"/>
  <c r="E49" i="30"/>
  <c r="D49" i="30"/>
  <c r="B49" i="30"/>
  <c r="L48" i="30"/>
  <c r="X48" i="30" s="1"/>
  <c r="L47" i="30"/>
  <c r="X47" i="30" s="1"/>
  <c r="L46" i="30"/>
  <c r="X46" i="30" s="1"/>
  <c r="L45" i="30"/>
  <c r="X45" i="30" s="1"/>
  <c r="E34" i="30"/>
  <c r="K37" i="30"/>
  <c r="J37" i="30"/>
  <c r="I37" i="30"/>
  <c r="E37" i="30"/>
  <c r="D37" i="30"/>
  <c r="C37" i="30"/>
  <c r="K36" i="30"/>
  <c r="J36" i="30"/>
  <c r="I36" i="30"/>
  <c r="E36" i="30"/>
  <c r="D36" i="30"/>
  <c r="C36" i="30"/>
  <c r="K35" i="30"/>
  <c r="J35" i="30"/>
  <c r="I35" i="30"/>
  <c r="E35" i="30"/>
  <c r="C35" i="30"/>
  <c r="K34" i="30"/>
  <c r="J34" i="30"/>
  <c r="I34" i="30"/>
  <c r="C34" i="30"/>
  <c r="K29" i="30"/>
  <c r="J29" i="30"/>
  <c r="I29" i="30"/>
  <c r="H7" i="47" s="1"/>
  <c r="H29" i="30"/>
  <c r="E29" i="30"/>
  <c r="D29" i="30"/>
  <c r="B29" i="30"/>
  <c r="L28" i="30"/>
  <c r="X28" i="30" s="1"/>
  <c r="F28" i="30"/>
  <c r="F48" i="30" s="1"/>
  <c r="R48" i="30" s="1"/>
  <c r="L27" i="30"/>
  <c r="X27" i="30" s="1"/>
  <c r="F27" i="30"/>
  <c r="E56" i="30" s="1"/>
  <c r="L26" i="30"/>
  <c r="X26" i="30" s="1"/>
  <c r="Z35" i="30" s="1"/>
  <c r="F26" i="30"/>
  <c r="R26" i="30" s="1"/>
  <c r="L25" i="30"/>
  <c r="X25" i="30" s="1"/>
  <c r="F25" i="30"/>
  <c r="R25" i="30" s="1"/>
  <c r="K17" i="30"/>
  <c r="K77" i="30" s="1"/>
  <c r="J17" i="30"/>
  <c r="K16" i="30"/>
  <c r="J16" i="30"/>
  <c r="K15" i="30"/>
  <c r="K75" i="30" s="1"/>
  <c r="J15" i="30"/>
  <c r="K14" i="30"/>
  <c r="J14" i="30"/>
  <c r="E17" i="30"/>
  <c r="E16" i="30"/>
  <c r="E15" i="30"/>
  <c r="E14" i="30"/>
  <c r="D17" i="30"/>
  <c r="D16" i="30"/>
  <c r="D76" i="30" s="1"/>
  <c r="D15" i="30"/>
  <c r="D14" i="30"/>
  <c r="F8" i="30"/>
  <c r="R8" i="30" s="1"/>
  <c r="F7" i="30"/>
  <c r="R7" i="30" s="1"/>
  <c r="F6" i="30"/>
  <c r="R6" i="30" s="1"/>
  <c r="F5" i="30"/>
  <c r="R5" i="30" s="1"/>
  <c r="I17" i="30"/>
  <c r="I16" i="30"/>
  <c r="I15" i="30"/>
  <c r="I14" i="30"/>
  <c r="C17" i="30"/>
  <c r="C16" i="30"/>
  <c r="C15" i="30"/>
  <c r="F15" i="30" s="1"/>
  <c r="C14" i="30"/>
  <c r="H9" i="30"/>
  <c r="B9" i="30"/>
  <c r="D77" i="30" l="1"/>
  <c r="I75" i="30"/>
  <c r="D75" i="30"/>
  <c r="Z69" i="30"/>
  <c r="D58" i="30"/>
  <c r="I58" i="30"/>
  <c r="H17" i="47" s="1"/>
  <c r="AI69" i="30"/>
  <c r="E76" i="30"/>
  <c r="K76" i="30"/>
  <c r="K78" i="30" s="1"/>
  <c r="K58" i="30"/>
  <c r="AO69" i="30"/>
  <c r="I76" i="30"/>
  <c r="L37" i="30"/>
  <c r="Q9" i="30"/>
  <c r="U48" i="30"/>
  <c r="AG48" i="30" s="1"/>
  <c r="T57" i="30"/>
  <c r="Z57" i="30"/>
  <c r="AA48" i="30"/>
  <c r="AM48" i="30" s="1"/>
  <c r="AP48" i="30" s="1"/>
  <c r="BB48" i="30" s="1"/>
  <c r="BD57" i="30" s="1"/>
  <c r="I18" i="30"/>
  <c r="H15" i="47" s="1"/>
  <c r="C18" i="30"/>
  <c r="B15" i="47" s="1"/>
  <c r="I38" i="30"/>
  <c r="H16" i="47" s="1"/>
  <c r="F36" i="30"/>
  <c r="Y14" i="30"/>
  <c r="R27" i="30"/>
  <c r="L17" i="30"/>
  <c r="I77" i="30"/>
  <c r="K74" i="30"/>
  <c r="E69" i="30"/>
  <c r="S15" i="30"/>
  <c r="S18" i="30" s="1"/>
  <c r="R28" i="30"/>
  <c r="W25" i="30"/>
  <c r="W45" i="30" s="1"/>
  <c r="Y54" i="30" s="1"/>
  <c r="U5" i="30"/>
  <c r="AG5" i="30" s="1"/>
  <c r="AJ5" i="30" s="1"/>
  <c r="AV5" i="30" s="1"/>
  <c r="AY5" i="30" s="1"/>
  <c r="T14" i="30"/>
  <c r="R14" i="30"/>
  <c r="J74" i="30"/>
  <c r="U7" i="30"/>
  <c r="AG7" i="30" s="1"/>
  <c r="T16" i="30"/>
  <c r="I74" i="30"/>
  <c r="AA45" i="30"/>
  <c r="AM45" i="30" s="1"/>
  <c r="AO54" i="30" s="1"/>
  <c r="Z54" i="30"/>
  <c r="L68" i="30"/>
  <c r="J76" i="30"/>
  <c r="J77" i="30"/>
  <c r="L15" i="30"/>
  <c r="N15" i="30" s="1"/>
  <c r="AW69" i="30"/>
  <c r="Z55" i="30"/>
  <c r="AA46" i="30"/>
  <c r="AM46" i="30" s="1"/>
  <c r="X49" i="30"/>
  <c r="D74" i="30"/>
  <c r="D78" i="30" s="1"/>
  <c r="AA28" i="30"/>
  <c r="AM28" i="30" s="1"/>
  <c r="AO37" i="30" s="1"/>
  <c r="Z37" i="30"/>
  <c r="AA27" i="30"/>
  <c r="AM27" i="30" s="1"/>
  <c r="AO36" i="30" s="1"/>
  <c r="Z36" i="30"/>
  <c r="J75" i="30"/>
  <c r="L75" i="30" s="1"/>
  <c r="Z34" i="30"/>
  <c r="AA25" i="30"/>
  <c r="AM25" i="30" s="1"/>
  <c r="AO34" i="30" s="1"/>
  <c r="T34" i="30"/>
  <c r="U25" i="30"/>
  <c r="AG25" i="30" s="1"/>
  <c r="AJ25" i="30" s="1"/>
  <c r="AV25" i="30" s="1"/>
  <c r="AX34" i="30" s="1"/>
  <c r="L66" i="30"/>
  <c r="T15" i="30"/>
  <c r="J69" i="30"/>
  <c r="I32" i="47" s="1"/>
  <c r="O32" i="47" s="1"/>
  <c r="U8" i="30"/>
  <c r="AG8" i="30" s="1"/>
  <c r="R9" i="30"/>
  <c r="T17" i="30"/>
  <c r="F17" i="30"/>
  <c r="D18" i="30"/>
  <c r="R17" i="30"/>
  <c r="W46" i="30"/>
  <c r="Y55" i="30" s="1"/>
  <c r="Y35" i="30"/>
  <c r="AL6" i="30"/>
  <c r="AN15" i="30" s="1"/>
  <c r="BA8" i="30"/>
  <c r="AN17" i="30"/>
  <c r="AL28" i="30"/>
  <c r="AL45" i="30"/>
  <c r="AN54" i="30" s="1"/>
  <c r="AN34" i="30"/>
  <c r="BA7" i="30"/>
  <c r="AL27" i="30"/>
  <c r="AN36" i="30" s="1"/>
  <c r="AN16" i="30"/>
  <c r="BA5" i="30"/>
  <c r="W27" i="30"/>
  <c r="W9" i="30"/>
  <c r="Y17" i="30"/>
  <c r="AN14" i="30"/>
  <c r="W28" i="30"/>
  <c r="AU5" i="30"/>
  <c r="AF25" i="30"/>
  <c r="AH34" i="30" s="1"/>
  <c r="AH14" i="30"/>
  <c r="AH15" i="30"/>
  <c r="AU6" i="30"/>
  <c r="AF26" i="30"/>
  <c r="Q28" i="30"/>
  <c r="AF8" i="30"/>
  <c r="Q26" i="30"/>
  <c r="R35" i="30" s="1"/>
  <c r="Q27" i="30"/>
  <c r="AF7" i="30"/>
  <c r="R16" i="30"/>
  <c r="Q25" i="30"/>
  <c r="R15" i="30"/>
  <c r="BC69" i="30"/>
  <c r="L32" i="47" s="1"/>
  <c r="R32" i="47" s="1"/>
  <c r="AN69" i="30"/>
  <c r="K32" i="47" s="1"/>
  <c r="Q32" i="47" s="1"/>
  <c r="AH69" i="30"/>
  <c r="AP27" i="30"/>
  <c r="BB27" i="30" s="1"/>
  <c r="Y69" i="30"/>
  <c r="J32" i="47" s="1"/>
  <c r="P32" i="47" s="1"/>
  <c r="T69" i="30"/>
  <c r="S69" i="30"/>
  <c r="Z56" i="30"/>
  <c r="AA47" i="30"/>
  <c r="AA26" i="30"/>
  <c r="X35" i="30"/>
  <c r="X29" i="30"/>
  <c r="T35" i="30"/>
  <c r="U26" i="30"/>
  <c r="U6" i="30"/>
  <c r="D69" i="30"/>
  <c r="L67" i="30"/>
  <c r="I69" i="30"/>
  <c r="L65" i="30"/>
  <c r="K69" i="30"/>
  <c r="F68" i="30"/>
  <c r="L49" i="30"/>
  <c r="I8" i="47" s="1"/>
  <c r="J58" i="30"/>
  <c r="L55" i="30"/>
  <c r="L56" i="30"/>
  <c r="L57" i="30"/>
  <c r="L54" i="30"/>
  <c r="L36" i="30"/>
  <c r="F46" i="30"/>
  <c r="R46" i="30" s="1"/>
  <c r="T55" i="30" s="1"/>
  <c r="E55" i="30"/>
  <c r="E75" i="30" s="1"/>
  <c r="C54" i="30"/>
  <c r="C74" i="30" s="1"/>
  <c r="F45" i="30"/>
  <c r="R45" i="30" s="1"/>
  <c r="F47" i="30"/>
  <c r="R47" i="30" s="1"/>
  <c r="C55" i="30"/>
  <c r="E57" i="30"/>
  <c r="E77" i="30" s="1"/>
  <c r="C57" i="30"/>
  <c r="C77" i="30" s="1"/>
  <c r="E54" i="30"/>
  <c r="E74" i="30" s="1"/>
  <c r="C56" i="30"/>
  <c r="F56" i="30" s="1"/>
  <c r="C49" i="30"/>
  <c r="B8" i="47" s="1"/>
  <c r="N8" i="47" s="1"/>
  <c r="C38" i="30"/>
  <c r="B16" i="47" s="1"/>
  <c r="F37" i="30"/>
  <c r="C29" i="30"/>
  <c r="B7" i="47" s="1"/>
  <c r="N7" i="47" s="1"/>
  <c r="F29" i="30"/>
  <c r="C7" i="47" s="1"/>
  <c r="J38" i="30"/>
  <c r="E18" i="30"/>
  <c r="F16" i="30"/>
  <c r="E38" i="30"/>
  <c r="F35" i="30"/>
  <c r="L14" i="30"/>
  <c r="K18" i="30"/>
  <c r="L29" i="30"/>
  <c r="I7" i="47" s="1"/>
  <c r="D38" i="30"/>
  <c r="K38" i="30"/>
  <c r="L35" i="30"/>
  <c r="F34" i="30"/>
  <c r="L34" i="30"/>
  <c r="J18" i="30"/>
  <c r="L16" i="30"/>
  <c r="N16" i="30" s="1"/>
  <c r="F14" i="30"/>
  <c r="F9" i="30"/>
  <c r="C6" i="47" s="1"/>
  <c r="K9" i="30"/>
  <c r="J9" i="30"/>
  <c r="I9" i="30"/>
  <c r="H6" i="47" s="1"/>
  <c r="H9" i="47" s="1"/>
  <c r="E9" i="30"/>
  <c r="D9" i="30"/>
  <c r="C9" i="30"/>
  <c r="L8" i="30"/>
  <c r="X8" i="30" s="1"/>
  <c r="L7" i="30"/>
  <c r="X7" i="30" s="1"/>
  <c r="X67" i="30" s="1"/>
  <c r="L6" i="30"/>
  <c r="X6" i="30" s="1"/>
  <c r="L5" i="30"/>
  <c r="X5" i="30" s="1"/>
  <c r="X65" i="30" s="1"/>
  <c r="AA65" i="30" s="1"/>
  <c r="Y18" i="30" l="1"/>
  <c r="N36" i="30"/>
  <c r="Y34" i="30"/>
  <c r="Y74" i="30" s="1"/>
  <c r="R29" i="30"/>
  <c r="N37" i="30"/>
  <c r="R68" i="30"/>
  <c r="U68" i="30" s="1"/>
  <c r="U46" i="30"/>
  <c r="AG46" i="30" s="1"/>
  <c r="AI55" i="30" s="1"/>
  <c r="X55" i="30"/>
  <c r="L76" i="30"/>
  <c r="U17" i="30"/>
  <c r="L77" i="30"/>
  <c r="R66" i="30"/>
  <c r="U66" i="30" s="1"/>
  <c r="AL9" i="30"/>
  <c r="AL26" i="30"/>
  <c r="AN35" i="30" s="1"/>
  <c r="N16" i="47"/>
  <c r="R49" i="30"/>
  <c r="W29" i="30"/>
  <c r="BA6" i="30"/>
  <c r="BA26" i="30" s="1"/>
  <c r="B6" i="47"/>
  <c r="C51" i="47"/>
  <c r="C52" i="47" s="1"/>
  <c r="C53" i="47" s="1"/>
  <c r="C54" i="47" s="1"/>
  <c r="AM54" i="30"/>
  <c r="AP54" i="30" s="1"/>
  <c r="X34" i="30"/>
  <c r="AA34" i="30" s="1"/>
  <c r="N17" i="30"/>
  <c r="N18" i="30" s="1"/>
  <c r="AO57" i="30"/>
  <c r="T36" i="30"/>
  <c r="U27" i="30"/>
  <c r="AG27" i="30" s="1"/>
  <c r="Z17" i="30"/>
  <c r="Z77" i="30" s="1"/>
  <c r="AA8" i="30"/>
  <c r="AM8" i="30" s="1"/>
  <c r="AM68" i="30" s="1"/>
  <c r="AP68" i="30" s="1"/>
  <c r="F55" i="30"/>
  <c r="C75" i="30"/>
  <c r="X68" i="30"/>
  <c r="AA68" i="30" s="1"/>
  <c r="AI57" i="30"/>
  <c r="AJ48" i="30"/>
  <c r="AV48" i="30" s="1"/>
  <c r="X17" i="30"/>
  <c r="BE48" i="30"/>
  <c r="E58" i="30"/>
  <c r="T56" i="30"/>
  <c r="U47" i="30"/>
  <c r="AG47" i="30" s="1"/>
  <c r="X54" i="30"/>
  <c r="AA54" i="30" s="1"/>
  <c r="Y75" i="30"/>
  <c r="R67" i="30"/>
  <c r="U67" i="30" s="1"/>
  <c r="U14" i="30"/>
  <c r="T37" i="30"/>
  <c r="T77" i="30" s="1"/>
  <c r="U28" i="30"/>
  <c r="AG28" i="30" s="1"/>
  <c r="AG68" i="30" s="1"/>
  <c r="N15" i="47"/>
  <c r="H18" i="47"/>
  <c r="C76" i="30"/>
  <c r="T18" i="30"/>
  <c r="N14" i="30"/>
  <c r="AI14" i="30"/>
  <c r="AX14" i="30"/>
  <c r="AG14" i="30"/>
  <c r="AP45" i="30"/>
  <c r="BB45" i="30" s="1"/>
  <c r="BE45" i="30" s="1"/>
  <c r="L74" i="30"/>
  <c r="X16" i="30"/>
  <c r="AI16" i="30"/>
  <c r="AJ7" i="30"/>
  <c r="AV7" i="30" s="1"/>
  <c r="T75" i="30"/>
  <c r="U15" i="30"/>
  <c r="AP28" i="30"/>
  <c r="BB28" i="30" s="1"/>
  <c r="BE28" i="30" s="1"/>
  <c r="AM37" i="30"/>
  <c r="N35" i="30"/>
  <c r="AA5" i="30"/>
  <c r="AM5" i="30" s="1"/>
  <c r="AM65" i="30" s="1"/>
  <c r="AP65" i="30" s="1"/>
  <c r="X14" i="30"/>
  <c r="Z14" i="30"/>
  <c r="Z74" i="30" s="1"/>
  <c r="AA49" i="30"/>
  <c r="J8" i="47" s="1"/>
  <c r="AM47" i="30"/>
  <c r="L69" i="30"/>
  <c r="N55" i="30"/>
  <c r="AO55" i="30"/>
  <c r="AP46" i="30"/>
  <c r="L58" i="30"/>
  <c r="I17" i="47" s="1"/>
  <c r="J78" i="30"/>
  <c r="T54" i="30"/>
  <c r="T58" i="30" s="1"/>
  <c r="U45" i="30"/>
  <c r="AG45" i="30" s="1"/>
  <c r="AG65" i="30" s="1"/>
  <c r="AJ65" i="30" s="1"/>
  <c r="R65" i="30"/>
  <c r="AM36" i="30"/>
  <c r="AP36" i="30" s="1"/>
  <c r="AA35" i="30"/>
  <c r="AM34" i="30"/>
  <c r="AP25" i="30"/>
  <c r="BB25" i="30" s="1"/>
  <c r="BE25" i="30" s="1"/>
  <c r="Z38" i="30"/>
  <c r="BD36" i="30"/>
  <c r="BE27" i="30"/>
  <c r="AA29" i="30"/>
  <c r="J7" i="47" s="1"/>
  <c r="AM26" i="30"/>
  <c r="O7" i="47"/>
  <c r="S7" i="47" s="1"/>
  <c r="AG26" i="30"/>
  <c r="AG35" i="30" s="1"/>
  <c r="AY25" i="30"/>
  <c r="AI34" i="30"/>
  <c r="X15" i="30"/>
  <c r="AA6" i="30"/>
  <c r="AM6" i="30" s="1"/>
  <c r="X66" i="30"/>
  <c r="AA66" i="30" s="1"/>
  <c r="Z15" i="30"/>
  <c r="Z75" i="30" s="1"/>
  <c r="U9" i="30"/>
  <c r="D6" i="47" s="1"/>
  <c r="AG6" i="30"/>
  <c r="AG9" i="30" s="1"/>
  <c r="AA67" i="30"/>
  <c r="X9" i="30"/>
  <c r="Z16" i="30"/>
  <c r="Z76" i="30" s="1"/>
  <c r="AA7" i="30"/>
  <c r="AI17" i="30"/>
  <c r="AJ8" i="30"/>
  <c r="AN74" i="30"/>
  <c r="AA55" i="30"/>
  <c r="AN18" i="30"/>
  <c r="AG34" i="30"/>
  <c r="R18" i="30"/>
  <c r="X36" i="30"/>
  <c r="W47" i="30"/>
  <c r="Y36" i="30"/>
  <c r="AN37" i="30"/>
  <c r="AL48" i="30"/>
  <c r="AL47" i="30"/>
  <c r="BA27" i="30"/>
  <c r="BC16" i="30"/>
  <c r="BA28" i="30"/>
  <c r="BC17" i="30"/>
  <c r="W48" i="30"/>
  <c r="X37" i="30"/>
  <c r="Y37" i="30"/>
  <c r="BC15" i="30"/>
  <c r="BA9" i="30"/>
  <c r="BC14" i="30"/>
  <c r="BA25" i="30"/>
  <c r="X75" i="30"/>
  <c r="AW15" i="30"/>
  <c r="AU26" i="30"/>
  <c r="AH16" i="30"/>
  <c r="AU7" i="30"/>
  <c r="AF27" i="30"/>
  <c r="Q29" i="30"/>
  <c r="S35" i="30"/>
  <c r="U35" i="30" s="1"/>
  <c r="Q46" i="30"/>
  <c r="AU25" i="30"/>
  <c r="AW14" i="30"/>
  <c r="AV14" i="30"/>
  <c r="U16" i="30"/>
  <c r="AG16" i="30"/>
  <c r="Q45" i="30"/>
  <c r="R34" i="30"/>
  <c r="S34" i="30"/>
  <c r="AG17" i="30"/>
  <c r="AF28" i="30"/>
  <c r="AH17" i="30"/>
  <c r="AU8" i="30"/>
  <c r="AF46" i="30"/>
  <c r="AH35" i="30"/>
  <c r="R37" i="30"/>
  <c r="Q48" i="30"/>
  <c r="S37" i="30"/>
  <c r="AF45" i="30"/>
  <c r="S36" i="30"/>
  <c r="Q47" i="30"/>
  <c r="R36" i="30"/>
  <c r="AF9" i="30"/>
  <c r="Z58" i="30"/>
  <c r="I78" i="30"/>
  <c r="F77" i="30"/>
  <c r="N56" i="30"/>
  <c r="F66" i="30"/>
  <c r="F49" i="30"/>
  <c r="C8" i="47" s="1"/>
  <c r="O8" i="47" s="1"/>
  <c r="S8" i="47" s="1"/>
  <c r="F65" i="30"/>
  <c r="F54" i="30"/>
  <c r="N54" i="30" s="1"/>
  <c r="C69" i="30"/>
  <c r="F74" i="30"/>
  <c r="F57" i="30"/>
  <c r="N57" i="30" s="1"/>
  <c r="C58" i="30"/>
  <c r="B17" i="47" s="1"/>
  <c r="N17" i="47" s="1"/>
  <c r="F38" i="30"/>
  <c r="C16" i="47" s="1"/>
  <c r="L18" i="30"/>
  <c r="I15" i="47" s="1"/>
  <c r="F18" i="30"/>
  <c r="C15" i="47" s="1"/>
  <c r="N34" i="30"/>
  <c r="L38" i="30"/>
  <c r="I16" i="47" s="1"/>
  <c r="L9" i="30"/>
  <c r="I6" i="47" s="1"/>
  <c r="I9" i="47" s="1"/>
  <c r="I10" i="47" s="1"/>
  <c r="N77" i="30" l="1"/>
  <c r="U29" i="30"/>
  <c r="D7" i="47" s="1"/>
  <c r="AL29" i="30"/>
  <c r="AL46" i="30"/>
  <c r="AJ46" i="30"/>
  <c r="AV46" i="30" s="1"/>
  <c r="AX55" i="30" s="1"/>
  <c r="L78" i="30"/>
  <c r="AJ34" i="30"/>
  <c r="BD37" i="30"/>
  <c r="N18" i="47"/>
  <c r="AA17" i="30"/>
  <c r="AC17" i="30" s="1"/>
  <c r="U18" i="30"/>
  <c r="D15" i="47" s="1"/>
  <c r="AI36" i="30"/>
  <c r="AJ27" i="30"/>
  <c r="AV27" i="30" s="1"/>
  <c r="AG67" i="30"/>
  <c r="AJ67" i="30" s="1"/>
  <c r="B18" i="47"/>
  <c r="T76" i="30"/>
  <c r="AJ47" i="30"/>
  <c r="AV47" i="30" s="1"/>
  <c r="AI56" i="30"/>
  <c r="AO17" i="30"/>
  <c r="AO77" i="30" s="1"/>
  <c r="AM17" i="30"/>
  <c r="AP8" i="30"/>
  <c r="BB8" i="30" s="1"/>
  <c r="T38" i="30"/>
  <c r="T74" i="30"/>
  <c r="T78" i="30" s="1"/>
  <c r="AI37" i="30"/>
  <c r="AI77" i="30" s="1"/>
  <c r="AJ28" i="30"/>
  <c r="AV28" i="30" s="1"/>
  <c r="AX57" i="30"/>
  <c r="AY48" i="30"/>
  <c r="N6" i="47"/>
  <c r="N9" i="47" s="1"/>
  <c r="B9" i="47"/>
  <c r="C9" i="47"/>
  <c r="AA16" i="30"/>
  <c r="AC16" i="30" s="1"/>
  <c r="AJ14" i="30"/>
  <c r="BD54" i="30"/>
  <c r="AY7" i="30"/>
  <c r="AX16" i="30"/>
  <c r="AC35" i="30"/>
  <c r="N38" i="30"/>
  <c r="I31" i="47"/>
  <c r="O31" i="47" s="1"/>
  <c r="AP37" i="30"/>
  <c r="AA75" i="30"/>
  <c r="AA14" i="30"/>
  <c r="AC14" i="30" s="1"/>
  <c r="Z18" i="30"/>
  <c r="X74" i="30"/>
  <c r="AA74" i="30" s="1"/>
  <c r="AP5" i="30"/>
  <c r="BB5" i="30" s="1"/>
  <c r="BB65" i="30" s="1"/>
  <c r="BE65" i="30" s="1"/>
  <c r="AM14" i="30"/>
  <c r="AO14" i="30"/>
  <c r="AO74" i="30" s="1"/>
  <c r="X18" i="30"/>
  <c r="AP47" i="30"/>
  <c r="BB47" i="30" s="1"/>
  <c r="AM49" i="30"/>
  <c r="AO56" i="30"/>
  <c r="AO58" i="30" s="1"/>
  <c r="BB46" i="30"/>
  <c r="U65" i="30"/>
  <c r="U69" i="30" s="1"/>
  <c r="R69" i="30"/>
  <c r="AJ45" i="30"/>
  <c r="AG49" i="30"/>
  <c r="AI54" i="30"/>
  <c r="U49" i="30"/>
  <c r="D8" i="47" s="1"/>
  <c r="P8" i="47" s="1"/>
  <c r="T8" i="47" s="1"/>
  <c r="BD34" i="30"/>
  <c r="AP34" i="30"/>
  <c r="AR34" i="30" s="1"/>
  <c r="Z78" i="30"/>
  <c r="AA69" i="30"/>
  <c r="AO35" i="30"/>
  <c r="AO38" i="30" s="1"/>
  <c r="AP26" i="30"/>
  <c r="AM29" i="30"/>
  <c r="O16" i="47"/>
  <c r="S16" i="47" s="1"/>
  <c r="P7" i="47"/>
  <c r="T7" i="47" s="1"/>
  <c r="AM35" i="30"/>
  <c r="AM38" i="30" s="1"/>
  <c r="I18" i="47"/>
  <c r="AJ26" i="30"/>
  <c r="AG29" i="30"/>
  <c r="AI35" i="30"/>
  <c r="X69" i="30"/>
  <c r="AO15" i="30"/>
  <c r="AP6" i="30"/>
  <c r="BB6" i="30" s="1"/>
  <c r="AM66" i="30"/>
  <c r="AP66" i="30" s="1"/>
  <c r="AA15" i="30"/>
  <c r="AC15" i="30" s="1"/>
  <c r="AM15" i="30"/>
  <c r="O6" i="47"/>
  <c r="AG66" i="30"/>
  <c r="AJ66" i="30" s="1"/>
  <c r="AI15" i="30"/>
  <c r="AJ6" i="30"/>
  <c r="AV6" i="30" s="1"/>
  <c r="AG15" i="30"/>
  <c r="AM7" i="30"/>
  <c r="AA9" i="30"/>
  <c r="J6" i="47" s="1"/>
  <c r="AV8" i="30"/>
  <c r="AV17" i="30" s="1"/>
  <c r="AJ68" i="30"/>
  <c r="O15" i="47"/>
  <c r="S15" i="47" s="1"/>
  <c r="AJ16" i="30"/>
  <c r="X38" i="30"/>
  <c r="AN38" i="30"/>
  <c r="AF29" i="30"/>
  <c r="U36" i="30"/>
  <c r="R38" i="30"/>
  <c r="AY14" i="30"/>
  <c r="BA29" i="30"/>
  <c r="BA45" i="30"/>
  <c r="BB34" i="30"/>
  <c r="BC34" i="30"/>
  <c r="BC35" i="30"/>
  <c r="BA46" i="30"/>
  <c r="BA48" i="30"/>
  <c r="BC37" i="30"/>
  <c r="BB37" i="30"/>
  <c r="X56" i="30"/>
  <c r="X76" i="30" s="1"/>
  <c r="Y56" i="30"/>
  <c r="Y76" i="30" s="1"/>
  <c r="W49" i="30"/>
  <c r="BC18" i="30"/>
  <c r="Y38" i="30"/>
  <c r="AN55" i="30"/>
  <c r="AN75" i="30" s="1"/>
  <c r="AL49" i="30"/>
  <c r="AM55" i="30"/>
  <c r="AA36" i="30"/>
  <c r="AA37" i="30"/>
  <c r="BA47" i="30"/>
  <c r="BC36" i="30"/>
  <c r="BB36" i="30"/>
  <c r="X57" i="30"/>
  <c r="Y57" i="30"/>
  <c r="Y77" i="30" s="1"/>
  <c r="AN56" i="30"/>
  <c r="AN76" i="30" s="1"/>
  <c r="AM56" i="30"/>
  <c r="AN57" i="30"/>
  <c r="AN77" i="30" s="1"/>
  <c r="AM57" i="30"/>
  <c r="AH54" i="30"/>
  <c r="AG54" i="30"/>
  <c r="AW17" i="30"/>
  <c r="AU28" i="30"/>
  <c r="AU27" i="30"/>
  <c r="AW16" i="30"/>
  <c r="AW18" i="30" s="1"/>
  <c r="AV16" i="30"/>
  <c r="S57" i="30"/>
  <c r="S77" i="30" s="1"/>
  <c r="R57" i="30"/>
  <c r="AG55" i="30"/>
  <c r="AH55" i="30"/>
  <c r="AH75" i="30" s="1"/>
  <c r="AJ17" i="30"/>
  <c r="AW34" i="30"/>
  <c r="AU45" i="30"/>
  <c r="AV34" i="30"/>
  <c r="AH36" i="30"/>
  <c r="AF47" i="30"/>
  <c r="AG36" i="30"/>
  <c r="S56" i="30"/>
  <c r="S76" i="30" s="1"/>
  <c r="R56" i="30"/>
  <c r="R76" i="30" s="1"/>
  <c r="U34" i="30"/>
  <c r="AU9" i="30"/>
  <c r="AW35" i="30"/>
  <c r="AU46" i="30"/>
  <c r="AH18" i="30"/>
  <c r="U37" i="30"/>
  <c r="S38" i="30"/>
  <c r="R55" i="30"/>
  <c r="S55" i="30"/>
  <c r="S75" i="30" s="1"/>
  <c r="AH37" i="30"/>
  <c r="AF48" i="30"/>
  <c r="AG37" i="30"/>
  <c r="Q49" i="30"/>
  <c r="R54" i="30"/>
  <c r="S54" i="30"/>
  <c r="S74" i="30" s="1"/>
  <c r="N58" i="30"/>
  <c r="F75" i="30"/>
  <c r="N75" i="30" s="1"/>
  <c r="E78" i="30"/>
  <c r="F67" i="30"/>
  <c r="F69" i="30" s="1"/>
  <c r="N74" i="30"/>
  <c r="F58" i="30"/>
  <c r="C17" i="47" s="1"/>
  <c r="O17" i="47" s="1"/>
  <c r="S17" i="47" s="1"/>
  <c r="AI38" i="30" l="1"/>
  <c r="AY46" i="30"/>
  <c r="S6" i="47"/>
  <c r="AI76" i="30"/>
  <c r="AX36" i="30"/>
  <c r="AY27" i="30"/>
  <c r="AV67" i="30"/>
  <c r="AY67" i="30" s="1"/>
  <c r="AP17" i="30"/>
  <c r="AR17" i="30" s="1"/>
  <c r="AX37" i="30"/>
  <c r="AY28" i="30"/>
  <c r="AX56" i="30"/>
  <c r="AX76" i="30" s="1"/>
  <c r="AY47" i="30"/>
  <c r="BB68" i="30"/>
  <c r="BE68" i="30" s="1"/>
  <c r="BB17" i="30"/>
  <c r="BD17" i="30"/>
  <c r="BD77" i="30" s="1"/>
  <c r="BE8" i="30"/>
  <c r="S58" i="30"/>
  <c r="C10" i="47"/>
  <c r="I19" i="47"/>
  <c r="C18" i="47"/>
  <c r="O9" i="47"/>
  <c r="AJ15" i="30"/>
  <c r="AJ18" i="30" s="1"/>
  <c r="E15" i="47" s="1"/>
  <c r="AJ9" i="30"/>
  <c r="E6" i="47" s="1"/>
  <c r="AC18" i="30"/>
  <c r="D9" i="47"/>
  <c r="D10" i="47" s="1"/>
  <c r="AJ35" i="30"/>
  <c r="AO75" i="30"/>
  <c r="AP35" i="30"/>
  <c r="AP38" i="30" s="1"/>
  <c r="K16" i="47" s="1"/>
  <c r="I29" i="47"/>
  <c r="I41" i="47" s="1"/>
  <c r="AP14" i="30"/>
  <c r="AR14" i="30" s="1"/>
  <c r="BE5" i="30"/>
  <c r="BD14" i="30"/>
  <c r="BD74" i="30" s="1"/>
  <c r="BB14" i="30"/>
  <c r="AM74" i="30"/>
  <c r="AP74" i="30" s="1"/>
  <c r="AP49" i="30"/>
  <c r="K8" i="47" s="1"/>
  <c r="BE47" i="30"/>
  <c r="BD56" i="30"/>
  <c r="BD55" i="30"/>
  <c r="BE46" i="30"/>
  <c r="BB49" i="30"/>
  <c r="AV45" i="30"/>
  <c r="AJ49" i="30"/>
  <c r="E8" i="47" s="1"/>
  <c r="AI58" i="30"/>
  <c r="AI74" i="30"/>
  <c r="O18" i="47"/>
  <c r="BB26" i="30"/>
  <c r="BB66" i="30" s="1"/>
  <c r="BE66" i="30" s="1"/>
  <c r="AP29" i="30"/>
  <c r="K7" i="47" s="1"/>
  <c r="AV26" i="30"/>
  <c r="AV66" i="30" s="1"/>
  <c r="AY66" i="30" s="1"/>
  <c r="AJ29" i="30"/>
  <c r="E7" i="47" s="1"/>
  <c r="BD15" i="30"/>
  <c r="BE6" i="30"/>
  <c r="BB15" i="30"/>
  <c r="AA18" i="30"/>
  <c r="J15" i="47" s="1"/>
  <c r="P15" i="47" s="1"/>
  <c r="T15" i="47" s="1"/>
  <c r="AP15" i="30"/>
  <c r="AG18" i="30"/>
  <c r="AG69" i="30"/>
  <c r="AY6" i="30"/>
  <c r="AX15" i="30"/>
  <c r="AV15" i="30"/>
  <c r="AV18" i="30" s="1"/>
  <c r="AJ69" i="30"/>
  <c r="AI18" i="30"/>
  <c r="AI75" i="30"/>
  <c r="P6" i="47"/>
  <c r="J9" i="47"/>
  <c r="AO16" i="30"/>
  <c r="AP7" i="30"/>
  <c r="AM9" i="30"/>
  <c r="AM67" i="30"/>
  <c r="AM16" i="30"/>
  <c r="AM76" i="30" s="1"/>
  <c r="AV68" i="30"/>
  <c r="AX17" i="30"/>
  <c r="AY17" i="30" s="1"/>
  <c r="AY8" i="30"/>
  <c r="AV9" i="30"/>
  <c r="AU29" i="30"/>
  <c r="AA57" i="30"/>
  <c r="AC37" i="30"/>
  <c r="U57" i="30"/>
  <c r="U76" i="30"/>
  <c r="U56" i="30"/>
  <c r="AP57" i="30"/>
  <c r="AM77" i="30"/>
  <c r="AP77" i="30" s="1"/>
  <c r="BB56" i="30"/>
  <c r="BC56" i="30"/>
  <c r="BC76" i="30" s="1"/>
  <c r="AA38" i="30"/>
  <c r="J16" i="47" s="1"/>
  <c r="BC55" i="30"/>
  <c r="BC75" i="30" s="1"/>
  <c r="BB55" i="30"/>
  <c r="BE34" i="30"/>
  <c r="AN78" i="30"/>
  <c r="X77" i="30"/>
  <c r="AA77" i="30" s="1"/>
  <c r="AP55" i="30"/>
  <c r="AM75" i="30"/>
  <c r="AM58" i="30"/>
  <c r="BE37" i="30"/>
  <c r="BC54" i="30"/>
  <c r="BA49" i="30"/>
  <c r="BB54" i="30"/>
  <c r="AP56" i="30"/>
  <c r="BE36" i="30"/>
  <c r="Y58" i="30"/>
  <c r="Y78" i="30"/>
  <c r="AA76" i="30"/>
  <c r="AN58" i="30"/>
  <c r="X58" i="30"/>
  <c r="AA56" i="30"/>
  <c r="BC57" i="30"/>
  <c r="BC77" i="30" s="1"/>
  <c r="BB57" i="30"/>
  <c r="BC38" i="30"/>
  <c r="AC36" i="30"/>
  <c r="R58" i="30"/>
  <c r="U54" i="30"/>
  <c r="AW55" i="30"/>
  <c r="AW75" i="30" s="1"/>
  <c r="AV55" i="30"/>
  <c r="AH74" i="30"/>
  <c r="AH57" i="30"/>
  <c r="AH77" i="30" s="1"/>
  <c r="AG57" i="30"/>
  <c r="AG77" i="30" s="1"/>
  <c r="R77" i="30"/>
  <c r="U77" i="30" s="1"/>
  <c r="AH56" i="30"/>
  <c r="AG56" i="30"/>
  <c r="AW54" i="30"/>
  <c r="AW74" i="30" s="1"/>
  <c r="AJ55" i="30"/>
  <c r="AG75" i="30"/>
  <c r="AW36" i="30"/>
  <c r="AU47" i="30"/>
  <c r="AV36" i="30"/>
  <c r="AG74" i="30"/>
  <c r="AJ54" i="30"/>
  <c r="AH38" i="30"/>
  <c r="S78" i="30"/>
  <c r="R74" i="30"/>
  <c r="AY34" i="30"/>
  <c r="AY16" i="30"/>
  <c r="AW37" i="30"/>
  <c r="AU48" i="30"/>
  <c r="AV37" i="30"/>
  <c r="AF49" i="30"/>
  <c r="U55" i="30"/>
  <c r="AC55" i="30" s="1"/>
  <c r="R75" i="30"/>
  <c r="U75" i="30" s="1"/>
  <c r="AC75" i="30" s="1"/>
  <c r="AJ37" i="30"/>
  <c r="AR37" i="30" s="1"/>
  <c r="U38" i="30"/>
  <c r="D16" i="47" s="1"/>
  <c r="AC34" i="30"/>
  <c r="AJ36" i="30"/>
  <c r="AR36" i="30" s="1"/>
  <c r="AG38" i="30"/>
  <c r="F76" i="30"/>
  <c r="C78" i="30"/>
  <c r="AH58" i="30" l="1"/>
  <c r="BE17" i="30"/>
  <c r="BG17" i="30" s="1"/>
  <c r="AC57" i="30"/>
  <c r="AR35" i="30"/>
  <c r="AR38" i="30" s="1"/>
  <c r="AR15" i="30"/>
  <c r="S9" i="47"/>
  <c r="O10" i="47"/>
  <c r="S18" i="47"/>
  <c r="O19" i="47"/>
  <c r="C29" i="47"/>
  <c r="C41" i="47" s="1"/>
  <c r="C19" i="47"/>
  <c r="E51" i="47"/>
  <c r="F51" i="47" s="1"/>
  <c r="P9" i="47"/>
  <c r="T9" i="47" s="1"/>
  <c r="T6" i="47"/>
  <c r="AI78" i="30"/>
  <c r="E9" i="47"/>
  <c r="E10" i="47" s="1"/>
  <c r="BE57" i="30"/>
  <c r="J31" i="47"/>
  <c r="P31" i="47" s="1"/>
  <c r="J10" i="47"/>
  <c r="BE14" i="30"/>
  <c r="BG14" i="30" s="1"/>
  <c r="BE15" i="30"/>
  <c r="BD58" i="30"/>
  <c r="BE49" i="30"/>
  <c r="L8" i="47" s="1"/>
  <c r="AA58" i="30"/>
  <c r="J17" i="47" s="1"/>
  <c r="J18" i="47" s="1"/>
  <c r="Q8" i="47"/>
  <c r="U8" i="47" s="1"/>
  <c r="AV49" i="30"/>
  <c r="AX54" i="30"/>
  <c r="AY45" i="30"/>
  <c r="AY49" i="30" s="1"/>
  <c r="F8" i="47" s="1"/>
  <c r="AV65" i="30"/>
  <c r="AY65" i="30" s="1"/>
  <c r="AV54" i="30"/>
  <c r="AV74" i="30" s="1"/>
  <c r="Q7" i="47"/>
  <c r="U7" i="47" s="1"/>
  <c r="BD35" i="30"/>
  <c r="BD38" i="30" s="1"/>
  <c r="BE26" i="30"/>
  <c r="BE29" i="30" s="1"/>
  <c r="L7" i="47" s="1"/>
  <c r="BB29" i="30"/>
  <c r="BB35" i="30"/>
  <c r="AJ75" i="30"/>
  <c r="AX35" i="30"/>
  <c r="AX38" i="30" s="1"/>
  <c r="AY26" i="30"/>
  <c r="AY29" i="30" s="1"/>
  <c r="F7" i="47" s="1"/>
  <c r="AV29" i="30"/>
  <c r="AV35" i="30"/>
  <c r="AY9" i="30"/>
  <c r="F6" i="47" s="1"/>
  <c r="AY15" i="30"/>
  <c r="AY18" i="30" s="1"/>
  <c r="F15" i="47" s="1"/>
  <c r="AM18" i="30"/>
  <c r="AP16" i="30"/>
  <c r="AO18" i="30"/>
  <c r="AO76" i="30"/>
  <c r="AO78" i="30" s="1"/>
  <c r="AP67" i="30"/>
  <c r="AP69" i="30" s="1"/>
  <c r="AM69" i="30"/>
  <c r="BB7" i="30"/>
  <c r="AP9" i="30"/>
  <c r="K6" i="47" s="1"/>
  <c r="AY68" i="30"/>
  <c r="AX77" i="30"/>
  <c r="AX18" i="30"/>
  <c r="X78" i="30"/>
  <c r="AC77" i="30"/>
  <c r="AP58" i="30"/>
  <c r="K17" i="47" s="1"/>
  <c r="P16" i="47"/>
  <c r="T16" i="47" s="1"/>
  <c r="AR55" i="30"/>
  <c r="BE55" i="30"/>
  <c r="BE56" i="30"/>
  <c r="AJ56" i="30"/>
  <c r="AR56" i="30" s="1"/>
  <c r="AJ57" i="30"/>
  <c r="AR57" i="30" s="1"/>
  <c r="AH76" i="30"/>
  <c r="AW38" i="30"/>
  <c r="AY36" i="30"/>
  <c r="BG36" i="30" s="1"/>
  <c r="AU49" i="30"/>
  <c r="AC56" i="30"/>
  <c r="AC38" i="30"/>
  <c r="BE54" i="30"/>
  <c r="BB58" i="30"/>
  <c r="AP75" i="30"/>
  <c r="AM78" i="30"/>
  <c r="BB74" i="30"/>
  <c r="BB77" i="30"/>
  <c r="BE77" i="30" s="1"/>
  <c r="AA78" i="30"/>
  <c r="AC76" i="30"/>
  <c r="BC58" i="30"/>
  <c r="BC74" i="30"/>
  <c r="BC78" i="30" s="1"/>
  <c r="AG76" i="30"/>
  <c r="AY37" i="30"/>
  <c r="BG37" i="30" s="1"/>
  <c r="AJ74" i="30"/>
  <c r="U58" i="30"/>
  <c r="D17" i="47" s="1"/>
  <c r="D18" i="47" s="1"/>
  <c r="D29" i="47" s="1"/>
  <c r="D41" i="47" s="1"/>
  <c r="AC54" i="30"/>
  <c r="AC58" i="30" s="1"/>
  <c r="AJ77" i="30"/>
  <c r="AR77" i="30" s="1"/>
  <c r="BG34" i="30"/>
  <c r="AJ38" i="30"/>
  <c r="E16" i="47" s="1"/>
  <c r="Q16" i="47" s="1"/>
  <c r="AR54" i="30"/>
  <c r="AW56" i="30"/>
  <c r="AW76" i="30" s="1"/>
  <c r="AV56" i="30"/>
  <c r="AY55" i="30"/>
  <c r="AW57" i="30"/>
  <c r="AW77" i="30" s="1"/>
  <c r="AV57" i="30"/>
  <c r="U74" i="30"/>
  <c r="R78" i="30"/>
  <c r="AG58" i="30"/>
  <c r="AH78" i="30"/>
  <c r="N76" i="30"/>
  <c r="N78" i="30" s="1"/>
  <c r="F78" i="30"/>
  <c r="BG55" i="30" l="1"/>
  <c r="G51" i="47"/>
  <c r="H51" i="47" s="1"/>
  <c r="J29" i="47"/>
  <c r="J41" i="47" s="1"/>
  <c r="P41" i="47" s="1"/>
  <c r="U16" i="47"/>
  <c r="P10" i="47"/>
  <c r="O29" i="47"/>
  <c r="O35" i="47" s="1"/>
  <c r="O41" i="47"/>
  <c r="E52" i="47"/>
  <c r="E53" i="47" s="1"/>
  <c r="E54" i="47" s="1"/>
  <c r="F54" i="47" s="1"/>
  <c r="AJ76" i="30"/>
  <c r="AJ78" i="30" s="1"/>
  <c r="AV69" i="30"/>
  <c r="AY35" i="30"/>
  <c r="AY38" i="30" s="1"/>
  <c r="F16" i="47" s="1"/>
  <c r="AX75" i="30"/>
  <c r="G52" i="47"/>
  <c r="R8" i="47"/>
  <c r="V8" i="47" s="1"/>
  <c r="BG15" i="30"/>
  <c r="F9" i="47"/>
  <c r="F10" i="47" s="1"/>
  <c r="BE58" i="30"/>
  <c r="L17" i="47" s="1"/>
  <c r="AY54" i="30"/>
  <c r="BG54" i="30" s="1"/>
  <c r="AY69" i="30"/>
  <c r="AX58" i="30"/>
  <c r="AX74" i="30"/>
  <c r="AY74" i="30" s="1"/>
  <c r="BD75" i="30"/>
  <c r="R7" i="47"/>
  <c r="V7" i="47" s="1"/>
  <c r="BB38" i="30"/>
  <c r="BE35" i="30"/>
  <c r="BE38" i="30" s="1"/>
  <c r="L16" i="47" s="1"/>
  <c r="BB75" i="30"/>
  <c r="AV75" i="30"/>
  <c r="AV38" i="30"/>
  <c r="AP18" i="30"/>
  <c r="K15" i="47" s="1"/>
  <c r="AR16" i="30"/>
  <c r="AR18" i="30" s="1"/>
  <c r="K9" i="47"/>
  <c r="Q6" i="47"/>
  <c r="BD16" i="30"/>
  <c r="BB67" i="30"/>
  <c r="BE7" i="30"/>
  <c r="BE9" i="30" s="1"/>
  <c r="L6" i="47" s="1"/>
  <c r="BB9" i="30"/>
  <c r="BB16" i="30"/>
  <c r="AP76" i="30"/>
  <c r="AJ58" i="30"/>
  <c r="E17" i="47" s="1"/>
  <c r="Q17" i="47" s="1"/>
  <c r="AV58" i="30"/>
  <c r="P17" i="47"/>
  <c r="D19" i="47"/>
  <c r="J19" i="47"/>
  <c r="AR58" i="30"/>
  <c r="AW58" i="30"/>
  <c r="AY56" i="30"/>
  <c r="BG56" i="30" s="1"/>
  <c r="AW78" i="30"/>
  <c r="AR75" i="30"/>
  <c r="BE74" i="30"/>
  <c r="AV76" i="30"/>
  <c r="AY76" i="30" s="1"/>
  <c r="AC74" i="30"/>
  <c r="AC78" i="30" s="1"/>
  <c r="U78" i="30"/>
  <c r="AR74" i="30"/>
  <c r="AY57" i="30"/>
  <c r="BG57" i="30" s="1"/>
  <c r="AV77" i="30"/>
  <c r="AY77" i="30" s="1"/>
  <c r="BG77" i="30" s="1"/>
  <c r="AG78" i="30"/>
  <c r="BE75" i="30" l="1"/>
  <c r="AR76" i="30"/>
  <c r="U17" i="47"/>
  <c r="F53" i="47"/>
  <c r="F52" i="47"/>
  <c r="H52" i="47" s="1"/>
  <c r="P18" i="47"/>
  <c r="T17" i="47"/>
  <c r="Q9" i="47"/>
  <c r="U9" i="47" s="1"/>
  <c r="U6" i="47"/>
  <c r="AX78" i="30"/>
  <c r="AY75" i="30"/>
  <c r="BG75" i="30" s="1"/>
  <c r="G53" i="47"/>
  <c r="G54" i="47" s="1"/>
  <c r="H54" i="47" s="1"/>
  <c r="G9" i="47"/>
  <c r="K31" i="47"/>
  <c r="Q31" i="47" s="1"/>
  <c r="K10" i="47"/>
  <c r="E18" i="47"/>
  <c r="R16" i="47"/>
  <c r="V16" i="47" s="1"/>
  <c r="BG35" i="30"/>
  <c r="BG38" i="30" s="1"/>
  <c r="BE67" i="30"/>
  <c r="BE69" i="30" s="1"/>
  <c r="BB69" i="30"/>
  <c r="BB18" i="30"/>
  <c r="BE16" i="30"/>
  <c r="BB76" i="30"/>
  <c r="BD76" i="30"/>
  <c r="BD78" i="30" s="1"/>
  <c r="BD18" i="30"/>
  <c r="Q15" i="47"/>
  <c r="K18" i="47"/>
  <c r="AP78" i="30"/>
  <c r="L9" i="47"/>
  <c r="R6" i="47"/>
  <c r="AR78" i="30"/>
  <c r="P29" i="47"/>
  <c r="P35" i="47" s="1"/>
  <c r="BG74" i="30"/>
  <c r="BG58" i="30"/>
  <c r="AV78" i="30"/>
  <c r="AY58" i="30"/>
  <c r="F17" i="47" s="1"/>
  <c r="AY78" i="30" l="1"/>
  <c r="P19" i="47"/>
  <c r="T18" i="47"/>
  <c r="K29" i="47"/>
  <c r="K41" i="47" s="1"/>
  <c r="Q18" i="47"/>
  <c r="U15" i="47"/>
  <c r="Q10" i="47"/>
  <c r="I51" i="47"/>
  <c r="I52" i="47" s="1"/>
  <c r="J52" i="47" s="1"/>
  <c r="R9" i="47"/>
  <c r="V9" i="47" s="1"/>
  <c r="V6" i="47"/>
  <c r="H53" i="47"/>
  <c r="E19" i="47"/>
  <c r="E29" i="47"/>
  <c r="E41" i="47" s="1"/>
  <c r="L31" i="47"/>
  <c r="R31" i="47" s="1"/>
  <c r="L10" i="47"/>
  <c r="K19" i="47"/>
  <c r="BE76" i="30"/>
  <c r="BB78" i="30"/>
  <c r="BE18" i="30"/>
  <c r="L15" i="47" s="1"/>
  <c r="BG16" i="30"/>
  <c r="BG18" i="30" s="1"/>
  <c r="M9" i="47"/>
  <c r="F18" i="47"/>
  <c r="F29" i="47" s="1"/>
  <c r="F41" i="47" s="1"/>
  <c r="R17" i="47"/>
  <c r="V17" i="47" s="1"/>
  <c r="I53" i="47" l="1"/>
  <c r="Q19" i="47"/>
  <c r="U18" i="47"/>
  <c r="S26" i="47"/>
  <c r="U26" i="47" s="1"/>
  <c r="R10" i="47"/>
  <c r="J51" i="47"/>
  <c r="K51" i="47"/>
  <c r="L51" i="47" s="1"/>
  <c r="Q41" i="47"/>
  <c r="I54" i="47"/>
  <c r="J54" i="47" s="1"/>
  <c r="J53" i="47"/>
  <c r="R15" i="47"/>
  <c r="L18" i="47"/>
  <c r="BG76" i="30"/>
  <c r="BG78" i="30" s="1"/>
  <c r="BE78" i="30"/>
  <c r="Q29" i="47"/>
  <c r="Q35" i="47" s="1"/>
  <c r="F19" i="47"/>
  <c r="G18" i="47"/>
  <c r="L29" i="47" l="1"/>
  <c r="L41" i="47" s="1"/>
  <c r="S25" i="47"/>
  <c r="U25" i="47" s="1"/>
  <c r="R18" i="47"/>
  <c r="V18" i="47" s="1"/>
  <c r="V15" i="47"/>
  <c r="K52" i="47"/>
  <c r="L52" i="47" s="1"/>
  <c r="L19" i="47"/>
  <c r="R41" i="47" l="1"/>
  <c r="K53" i="47"/>
  <c r="K54" i="47" s="1"/>
  <c r="L54" i="47" s="1"/>
  <c r="R19" i="47"/>
  <c r="R29" i="47"/>
  <c r="R35" i="47" s="1"/>
  <c r="L53" i="47" l="1"/>
  <c r="K48" i="36" l="1"/>
  <c r="K23" i="36" l="1"/>
  <c r="C12" i="36" l="1"/>
  <c r="C20" i="36" l="1"/>
  <c r="C8" i="36" l="1"/>
  <c r="K37" i="36" l="1"/>
  <c r="K27" i="36"/>
  <c r="K19" i="36"/>
  <c r="C16" i="36"/>
  <c r="K15" i="36"/>
  <c r="H11" i="27" l="1"/>
  <c r="H17" i="27" l="1"/>
  <c r="V2" i="7" l="1"/>
  <c r="W8" i="7"/>
  <c r="H8" i="7" s="1"/>
  <c r="I8" i="7" s="1"/>
  <c r="R8" i="7" s="1"/>
  <c r="W11" i="7"/>
  <c r="H11" i="7" s="1"/>
  <c r="W12" i="7"/>
  <c r="X12" i="7" s="1"/>
  <c r="AB12" i="7" s="1"/>
  <c r="E13" i="7"/>
  <c r="E15" i="7" s="1"/>
  <c r="W13" i="7"/>
  <c r="X13" i="7" s="1"/>
  <c r="AB13" i="7" s="1"/>
  <c r="W14" i="7"/>
  <c r="X14" i="7" s="1"/>
  <c r="AB14" i="7" s="1"/>
  <c r="AC14" i="7" s="1"/>
  <c r="AG14" i="7" s="1"/>
  <c r="AH14" i="7" s="1"/>
  <c r="AL14" i="7" s="1"/>
  <c r="T15" i="7"/>
  <c r="V15" i="7"/>
  <c r="Y15" i="7"/>
  <c r="AA15" i="7"/>
  <c r="AD15" i="7"/>
  <c r="AF15" i="7"/>
  <c r="AI15" i="7"/>
  <c r="AK15" i="7"/>
  <c r="W18" i="7"/>
  <c r="X18" i="7" s="1"/>
  <c r="AB18" i="7" s="1"/>
  <c r="W19" i="7"/>
  <c r="H19" i="7" s="1"/>
  <c r="I19" i="7" s="1"/>
  <c r="R19" i="7" s="1"/>
  <c r="W20" i="7"/>
  <c r="X20" i="7" s="1"/>
  <c r="AB20" i="7" s="1"/>
  <c r="W21" i="7"/>
  <c r="H21" i="7" s="1"/>
  <c r="I21" i="7" s="1"/>
  <c r="R21" i="7" s="1"/>
  <c r="T22" i="7"/>
  <c r="V22" i="7"/>
  <c r="Y22" i="7"/>
  <c r="AA22" i="7"/>
  <c r="AD22" i="7"/>
  <c r="AF22" i="7"/>
  <c r="AI22" i="7"/>
  <c r="AK22" i="7"/>
  <c r="W24" i="7"/>
  <c r="H24" i="7" s="1"/>
  <c r="I24" i="7" s="1"/>
  <c r="T25" i="7"/>
  <c r="H25" i="7" s="1"/>
  <c r="I25" i="7" s="1"/>
  <c r="R25" i="7" s="1"/>
  <c r="Y25" i="7"/>
  <c r="J25" i="7" s="1"/>
  <c r="K25" i="7" s="1"/>
  <c r="AD25" i="7"/>
  <c r="L25" i="7" s="1"/>
  <c r="M25" i="7" s="1"/>
  <c r="AI25" i="7"/>
  <c r="N25" i="7" s="1"/>
  <c r="O25" i="7" s="1"/>
  <c r="T29" i="7"/>
  <c r="Y29" i="7"/>
  <c r="AD29" i="7"/>
  <c r="AI29" i="7"/>
  <c r="C37" i="7"/>
  <c r="Q38" i="7"/>
  <c r="X11" i="7" l="1"/>
  <c r="AB11" i="7" s="1"/>
  <c r="J11" i="7" s="1"/>
  <c r="X21" i="7"/>
  <c r="AB21" i="7" s="1"/>
  <c r="AC21" i="7" s="1"/>
  <c r="AG21" i="7" s="1"/>
  <c r="X19" i="7"/>
  <c r="AB19" i="7" s="1"/>
  <c r="AC19" i="7" s="1"/>
  <c r="AG19" i="7" s="1"/>
  <c r="P25" i="7"/>
  <c r="R24" i="7"/>
  <c r="I27" i="7"/>
  <c r="H27" i="7"/>
  <c r="W25" i="7"/>
  <c r="X25" i="7" s="1"/>
  <c r="AB25" i="7" s="1"/>
  <c r="AC25" i="7" s="1"/>
  <c r="AG25" i="7" s="1"/>
  <c r="AH25" i="7" s="1"/>
  <c r="AL25" i="7" s="1"/>
  <c r="X24" i="7"/>
  <c r="AB24" i="7" s="1"/>
  <c r="J21" i="7"/>
  <c r="K21" i="7" s="1"/>
  <c r="AC20" i="7"/>
  <c r="AG20" i="7" s="1"/>
  <c r="J20" i="7"/>
  <c r="K20" i="7" s="1"/>
  <c r="AC18" i="7"/>
  <c r="AG18" i="7" s="1"/>
  <c r="J18" i="7"/>
  <c r="AC13" i="7"/>
  <c r="AG13" i="7" s="1"/>
  <c r="J13" i="7"/>
  <c r="K13" i="7" s="1"/>
  <c r="AC12" i="7"/>
  <c r="AG12" i="7" s="1"/>
  <c r="J12" i="7"/>
  <c r="K12" i="7" s="1"/>
  <c r="I11" i="7"/>
  <c r="H20" i="7"/>
  <c r="I20" i="7" s="1"/>
  <c r="R20" i="7" s="1"/>
  <c r="H18" i="7"/>
  <c r="H13" i="7"/>
  <c r="H12" i="7"/>
  <c r="X8" i="7"/>
  <c r="AB8" i="7" s="1"/>
  <c r="J19" i="7" l="1"/>
  <c r="K19" i="7" s="1"/>
  <c r="AC11" i="7"/>
  <c r="AG11" i="7" s="1"/>
  <c r="AH11" i="7" s="1"/>
  <c r="AL11" i="7" s="1"/>
  <c r="N11" i="7" s="1"/>
  <c r="I12" i="7"/>
  <c r="R12" i="7" s="1"/>
  <c r="I35" i="7"/>
  <c r="I18" i="7"/>
  <c r="H22" i="7"/>
  <c r="I36" i="7"/>
  <c r="R11" i="7"/>
  <c r="K18" i="7"/>
  <c r="K22" i="7" s="1"/>
  <c r="J22" i="7"/>
  <c r="J36" i="7"/>
  <c r="L19" i="7"/>
  <c r="M19" i="7" s="1"/>
  <c r="AH19" i="7"/>
  <c r="AL19" i="7" s="1"/>
  <c r="N19" i="7" s="1"/>
  <c r="O19" i="7" s="1"/>
  <c r="L21" i="7"/>
  <c r="M21" i="7" s="1"/>
  <c r="AH21" i="7"/>
  <c r="AL21" i="7" s="1"/>
  <c r="N21" i="7" s="1"/>
  <c r="O21" i="7" s="1"/>
  <c r="J24" i="7"/>
  <c r="AC24" i="7"/>
  <c r="AG24" i="7" s="1"/>
  <c r="J8" i="7"/>
  <c r="K8" i="7" s="1"/>
  <c r="AC8" i="7"/>
  <c r="AG8" i="7" s="1"/>
  <c r="I13" i="7"/>
  <c r="R13" i="7" s="1"/>
  <c r="H15" i="7"/>
  <c r="AH12" i="7"/>
  <c r="AL12" i="7" s="1"/>
  <c r="N12" i="7" s="1"/>
  <c r="O12" i="7" s="1"/>
  <c r="L12" i="7"/>
  <c r="M12" i="7" s="1"/>
  <c r="AH13" i="7"/>
  <c r="AL13" i="7" s="1"/>
  <c r="N13" i="7" s="1"/>
  <c r="O13" i="7" s="1"/>
  <c r="L13" i="7"/>
  <c r="M13" i="7" s="1"/>
  <c r="AH18" i="7"/>
  <c r="AL18" i="7" s="1"/>
  <c r="N18" i="7" s="1"/>
  <c r="L18" i="7"/>
  <c r="J15" i="7"/>
  <c r="K11" i="7"/>
  <c r="J35" i="7"/>
  <c r="AH20" i="7"/>
  <c r="AL20" i="7" s="1"/>
  <c r="N20" i="7" s="1"/>
  <c r="O20" i="7" s="1"/>
  <c r="L20" i="7"/>
  <c r="M20" i="7" s="1"/>
  <c r="R27" i="7"/>
  <c r="L11" i="7" l="1"/>
  <c r="C31" i="7" s="1"/>
  <c r="P21" i="7"/>
  <c r="P19" i="7"/>
  <c r="P20" i="7"/>
  <c r="P13" i="7"/>
  <c r="J37" i="7"/>
  <c r="P12" i="7"/>
  <c r="C33" i="7"/>
  <c r="L8" i="7"/>
  <c r="M8" i="7" s="1"/>
  <c r="AH8" i="7"/>
  <c r="AL8" i="7" s="1"/>
  <c r="N8" i="7" s="1"/>
  <c r="O8" i="7" s="1"/>
  <c r="L24" i="7"/>
  <c r="AH24" i="7"/>
  <c r="AL24" i="7" s="1"/>
  <c r="N24" i="7" s="1"/>
  <c r="N15" i="7"/>
  <c r="O11" i="7"/>
  <c r="L35" i="7"/>
  <c r="I15" i="7"/>
  <c r="R15" i="7" s="1"/>
  <c r="R18" i="7"/>
  <c r="I22" i="7"/>
  <c r="C32" i="7"/>
  <c r="O18" i="7"/>
  <c r="N22" i="7"/>
  <c r="L36" i="7"/>
  <c r="K15" i="7"/>
  <c r="K43" i="7"/>
  <c r="M18" i="7"/>
  <c r="M22" i="7" s="1"/>
  <c r="L22" i="7"/>
  <c r="K36" i="7"/>
  <c r="K24" i="7"/>
  <c r="K27" i="7" s="1"/>
  <c r="J27" i="7"/>
  <c r="K35" i="7"/>
  <c r="I43" i="7"/>
  <c r="I37" i="7"/>
  <c r="J38" i="7" l="1"/>
  <c r="L15" i="7"/>
  <c r="M11" i="7"/>
  <c r="P11" i="7" s="1"/>
  <c r="K37" i="7"/>
  <c r="K38" i="7" s="1"/>
  <c r="K28" i="7"/>
  <c r="P8" i="7"/>
  <c r="M36" i="7"/>
  <c r="M35" i="7"/>
  <c r="N35" i="7" s="1"/>
  <c r="O22" i="7"/>
  <c r="P18" i="7"/>
  <c r="P22" i="7" s="1"/>
  <c r="R22" i="7"/>
  <c r="R28" i="7" s="1"/>
  <c r="I28" i="7"/>
  <c r="L37" i="7"/>
  <c r="M24" i="7"/>
  <c r="M27" i="7" s="1"/>
  <c r="L27" i="7"/>
  <c r="O15" i="7"/>
  <c r="O43" i="7"/>
  <c r="O24" i="7"/>
  <c r="N27" i="7"/>
  <c r="L38" i="7" l="1"/>
  <c r="M43" i="7"/>
  <c r="M15" i="7"/>
  <c r="M28" i="7" s="1"/>
  <c r="M37" i="7"/>
  <c r="N36" i="7"/>
  <c r="N37" i="7" s="1"/>
  <c r="P24" i="7"/>
  <c r="O27" i="7"/>
  <c r="O28" i="7" s="1"/>
  <c r="P15" i="7"/>
  <c r="A31" i="7"/>
  <c r="Q4" i="7" l="1"/>
  <c r="S34" i="7"/>
  <c r="S35" i="7" s="1"/>
  <c r="M39" i="7"/>
  <c r="P27" i="7"/>
  <c r="P28" i="7" s="1"/>
  <c r="Q25" i="7" l="1"/>
  <c r="Q8" i="7"/>
  <c r="Q22" i="7"/>
  <c r="Q15" i="7"/>
  <c r="Q24" i="7"/>
  <c r="Q28" i="7" l="1"/>
  <c r="H31" i="27" l="1"/>
  <c r="H10" i="27" l="1"/>
  <c r="H38" i="27" l="1"/>
  <c r="H8" i="27" l="1"/>
  <c r="H9" i="27"/>
  <c r="H22" i="27"/>
  <c r="H21" i="27"/>
  <c r="H12" i="27"/>
  <c r="H18" i="27" l="1"/>
  <c r="H7" i="27"/>
  <c r="H33" i="27" l="1"/>
  <c r="N55" i="17" l="1"/>
  <c r="M55" i="17"/>
  <c r="L55" i="17"/>
  <c r="K55" i="17"/>
  <c r="J55" i="17"/>
  <c r="I55" i="17"/>
  <c r="H55" i="17"/>
  <c r="G55" i="17"/>
  <c r="F55" i="17"/>
  <c r="E55" i="17"/>
  <c r="D55" i="17"/>
  <c r="C55" i="17"/>
  <c r="B66" i="17"/>
  <c r="B65" i="17"/>
  <c r="B64" i="17"/>
  <c r="B63" i="17"/>
  <c r="D22" i="17"/>
  <c r="E22" i="17"/>
  <c r="F22" i="17"/>
  <c r="G22" i="17"/>
  <c r="H22" i="17"/>
  <c r="I22" i="17"/>
  <c r="J22" i="17"/>
  <c r="K22" i="17"/>
  <c r="L22" i="17"/>
  <c r="M22" i="17"/>
  <c r="N22" i="17"/>
  <c r="C22" i="17"/>
  <c r="B62" i="17"/>
  <c r="B61" i="17"/>
  <c r="D40" i="27" l="1"/>
  <c r="F66" i="17"/>
  <c r="F62" i="17"/>
  <c r="C66" i="17"/>
  <c r="D66" i="17"/>
  <c r="E66" i="17"/>
  <c r="E62" i="17"/>
  <c r="D62" i="17"/>
  <c r="C62" i="17"/>
  <c r="C40" i="27" l="1"/>
  <c r="G66" i="17"/>
  <c r="G62" i="17"/>
  <c r="F5" i="13"/>
  <c r="Q18" i="49" l="1"/>
  <c r="D6" i="36"/>
  <c r="D10" i="36"/>
  <c r="G10" i="36" s="1"/>
  <c r="D22" i="36"/>
  <c r="D14" i="36"/>
  <c r="D31" i="36"/>
  <c r="D32" i="36"/>
  <c r="D30" i="36"/>
  <c r="Q21" i="49" l="1"/>
  <c r="Q23" i="49"/>
  <c r="Q22" i="49"/>
  <c r="Q26" i="49"/>
  <c r="Q27" i="49"/>
  <c r="Q25" i="49"/>
  <c r="Q24" i="49"/>
  <c r="J22" i="36"/>
  <c r="J24" i="36" s="1"/>
  <c r="G22" i="36"/>
  <c r="G24" i="36" s="1"/>
  <c r="I22" i="36"/>
  <c r="I24" i="36" s="1"/>
  <c r="H22" i="36"/>
  <c r="H24" i="36" s="1"/>
  <c r="G12" i="36"/>
  <c r="H10" i="36"/>
  <c r="J32" i="36"/>
  <c r="I32" i="36"/>
  <c r="H32" i="36"/>
  <c r="G32" i="36"/>
  <c r="J31" i="36"/>
  <c r="I31" i="36"/>
  <c r="H31" i="36"/>
  <c r="G31" i="36"/>
  <c r="H30" i="36"/>
  <c r="I30" i="36"/>
  <c r="I34" i="36" s="1"/>
  <c r="G30" i="36"/>
  <c r="J30" i="36"/>
  <c r="E22" i="36"/>
  <c r="E18" i="36"/>
  <c r="H18" i="36"/>
  <c r="H20" i="36" s="1"/>
  <c r="G18" i="36"/>
  <c r="G20" i="36" s="1"/>
  <c r="J18" i="36"/>
  <c r="J20" i="36" s="1"/>
  <c r="I18" i="36"/>
  <c r="I20" i="36" s="1"/>
  <c r="E10" i="36"/>
  <c r="E36" i="36"/>
  <c r="H36" i="36"/>
  <c r="H38" i="36" s="1"/>
  <c r="G36" i="36"/>
  <c r="G38" i="36" s="1"/>
  <c r="I36" i="36"/>
  <c r="I38" i="36" s="1"/>
  <c r="J36" i="36"/>
  <c r="J38" i="36" s="1"/>
  <c r="E6" i="36"/>
  <c r="I6" i="36"/>
  <c r="I8" i="36" s="1"/>
  <c r="G6" i="36"/>
  <c r="G8" i="36" s="1"/>
  <c r="J6" i="36"/>
  <c r="J8" i="36" s="1"/>
  <c r="H6" i="36"/>
  <c r="H8" i="36" s="1"/>
  <c r="E26" i="36"/>
  <c r="Q28" i="49" l="1"/>
  <c r="G34" i="36"/>
  <c r="H34" i="36"/>
  <c r="J34" i="36"/>
  <c r="H12" i="36"/>
  <c r="I10" i="36"/>
  <c r="K30" i="36"/>
  <c r="K31" i="36"/>
  <c r="K32" i="36"/>
  <c r="K26" i="36"/>
  <c r="K28" i="36" s="1"/>
  <c r="K18" i="36"/>
  <c r="K6" i="36"/>
  <c r="K36" i="36"/>
  <c r="K38" i="36" s="1"/>
  <c r="K22" i="36"/>
  <c r="J10" i="36" l="1"/>
  <c r="J12" i="36" s="1"/>
  <c r="I12" i="36"/>
  <c r="K34" i="36"/>
  <c r="K20" i="36"/>
  <c r="K24" i="36"/>
  <c r="K8" i="36"/>
  <c r="K10" i="36" l="1"/>
  <c r="K12" i="36" s="1"/>
  <c r="O54" i="17" l="1"/>
  <c r="O53" i="17"/>
  <c r="O52" i="17"/>
  <c r="O51" i="17"/>
  <c r="O50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O46" i="17"/>
  <c r="O45" i="17"/>
  <c r="O44" i="17"/>
  <c r="O43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O39" i="17"/>
  <c r="O38" i="17"/>
  <c r="O37" i="17"/>
  <c r="O36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O32" i="17"/>
  <c r="O31" i="17"/>
  <c r="O30" i="17"/>
  <c r="O29" i="17"/>
  <c r="O28" i="17"/>
  <c r="O27" i="17"/>
  <c r="O26" i="17"/>
  <c r="O25" i="17"/>
  <c r="O21" i="17"/>
  <c r="O20" i="17"/>
  <c r="O19" i="17"/>
  <c r="O18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14" i="17"/>
  <c r="O13" i="17"/>
  <c r="O12" i="17"/>
  <c r="O11" i="17"/>
  <c r="O10" i="17"/>
  <c r="O9" i="17"/>
  <c r="O8" i="17"/>
  <c r="O7" i="17"/>
  <c r="D64" i="17" l="1"/>
  <c r="D65" i="17"/>
  <c r="O15" i="17"/>
  <c r="C61" i="17"/>
  <c r="O55" i="17"/>
  <c r="F63" i="17"/>
  <c r="F64" i="17"/>
  <c r="E61" i="17"/>
  <c r="O22" i="17"/>
  <c r="O33" i="17"/>
  <c r="C63" i="17"/>
  <c r="E63" i="17"/>
  <c r="F65" i="17"/>
  <c r="O40" i="17"/>
  <c r="D63" i="17"/>
  <c r="C64" i="17"/>
  <c r="E64" i="17"/>
  <c r="O47" i="17"/>
  <c r="C65" i="17"/>
  <c r="E65" i="17"/>
  <c r="D56" i="17"/>
  <c r="F56" i="17"/>
  <c r="H56" i="17"/>
  <c r="J56" i="17"/>
  <c r="L56" i="17"/>
  <c r="N56" i="17"/>
  <c r="D61" i="17"/>
  <c r="F61" i="17"/>
  <c r="C56" i="17"/>
  <c r="E56" i="17"/>
  <c r="G56" i="17"/>
  <c r="I56" i="17"/>
  <c r="K56" i="17"/>
  <c r="M56" i="17"/>
  <c r="O56" i="17" l="1"/>
  <c r="D67" i="17"/>
  <c r="G63" i="17"/>
  <c r="F67" i="17"/>
  <c r="G64" i="17"/>
  <c r="E67" i="17"/>
  <c r="G61" i="17"/>
  <c r="G65" i="17"/>
  <c r="C67" i="17"/>
  <c r="G67" i="17" l="1"/>
  <c r="F4" i="13" l="1"/>
  <c r="Q4" i="49" l="1"/>
  <c r="P3" i="48"/>
  <c r="P6" i="48" s="1"/>
  <c r="AD6" i="48" l="1"/>
  <c r="AC6" i="48"/>
  <c r="Z6" i="48"/>
  <c r="X6" i="48"/>
  <c r="AB6" i="48"/>
  <c r="AA6" i="48"/>
  <c r="Y6" i="48"/>
  <c r="AJ6" i="48"/>
  <c r="AG6" i="48"/>
  <c r="U6" i="48"/>
  <c r="V6" i="48"/>
  <c r="AF6" i="48"/>
  <c r="S6" i="48"/>
  <c r="W6" i="48"/>
  <c r="AE6" i="48"/>
  <c r="T6" i="48"/>
  <c r="AI6" i="48"/>
  <c r="AH6" i="48"/>
  <c r="P19" i="48"/>
  <c r="P20" i="48"/>
  <c r="P16" i="48"/>
  <c r="P22" i="48"/>
  <c r="P18" i="48"/>
  <c r="Y18" i="48" s="1"/>
  <c r="P10" i="48"/>
  <c r="P23" i="48"/>
  <c r="P12" i="48"/>
  <c r="P11" i="48"/>
  <c r="P9" i="48"/>
  <c r="P21" i="48"/>
  <c r="P13" i="48"/>
  <c r="Q13" i="49"/>
  <c r="Q11" i="49"/>
  <c r="Q10" i="49"/>
  <c r="Q8" i="49"/>
  <c r="Q7" i="49"/>
  <c r="Q9" i="49"/>
  <c r="Q12" i="49"/>
  <c r="P15" i="48"/>
  <c r="P8" i="48"/>
  <c r="P7" i="48"/>
  <c r="H13" i="27"/>
  <c r="C13" i="27"/>
  <c r="AK6" i="48" l="1"/>
  <c r="AD12" i="48"/>
  <c r="AI12" i="48"/>
  <c r="V12" i="48"/>
  <c r="AC12" i="48"/>
  <c r="AA12" i="48"/>
  <c r="Y12" i="48"/>
  <c r="X12" i="48"/>
  <c r="AB12" i="48"/>
  <c r="Z12" i="48"/>
  <c r="AJ12" i="48"/>
  <c r="AG12" i="48"/>
  <c r="U12" i="48"/>
  <c r="AH12" i="48"/>
  <c r="AF12" i="48"/>
  <c r="T12" i="48"/>
  <c r="AE12" i="48"/>
  <c r="S12" i="48"/>
  <c r="W12" i="48"/>
  <c r="AJ11" i="48"/>
  <c r="AI11" i="48"/>
  <c r="AF11" i="48"/>
  <c r="AB11" i="48"/>
  <c r="AH11" i="48"/>
  <c r="AG11" i="48"/>
  <c r="AE11" i="48"/>
  <c r="AD11" i="48"/>
  <c r="AA11" i="48"/>
  <c r="Z11" i="48"/>
  <c r="AC11" i="48"/>
  <c r="Y11" i="48"/>
  <c r="AD8" i="48"/>
  <c r="X8" i="48"/>
  <c r="V8" i="48"/>
  <c r="AC8" i="48"/>
  <c r="AA8" i="48"/>
  <c r="Z8" i="48"/>
  <c r="Y8" i="48"/>
  <c r="W8" i="48"/>
  <c r="AB8" i="48"/>
  <c r="AJ8" i="48"/>
  <c r="AG8" i="48"/>
  <c r="U8" i="48"/>
  <c r="AH8" i="48"/>
  <c r="AF8" i="48"/>
  <c r="T8" i="48"/>
  <c r="AI8" i="48"/>
  <c r="AE8" i="48"/>
  <c r="S8" i="48"/>
  <c r="AD10" i="48"/>
  <c r="AC10" i="48"/>
  <c r="Z10" i="48"/>
  <c r="AJ10" i="48"/>
  <c r="AI10" i="48"/>
  <c r="AB10" i="48"/>
  <c r="AA10" i="48"/>
  <c r="Y10" i="48"/>
  <c r="X10" i="48"/>
  <c r="AG10" i="48"/>
  <c r="AF10" i="48"/>
  <c r="AE10" i="48"/>
  <c r="AH10" i="48"/>
  <c r="AD18" i="48"/>
  <c r="AI18" i="48"/>
  <c r="AC18" i="48"/>
  <c r="AH18" i="48"/>
  <c r="AB18" i="48"/>
  <c r="AA18" i="48"/>
  <c r="Z18" i="48"/>
  <c r="AJ18" i="48"/>
  <c r="AG18" i="48"/>
  <c r="AF18" i="48"/>
  <c r="AE18" i="48"/>
  <c r="AJ13" i="48"/>
  <c r="X13" i="48"/>
  <c r="AI13" i="48"/>
  <c r="W13" i="48"/>
  <c r="AG13" i="48"/>
  <c r="T13" i="48"/>
  <c r="AE13" i="48"/>
  <c r="AD13" i="48"/>
  <c r="AH13" i="48"/>
  <c r="V13" i="48"/>
  <c r="U13" i="48"/>
  <c r="AF13" i="48"/>
  <c r="AC13" i="48"/>
  <c r="AA13" i="48"/>
  <c r="Z13" i="48"/>
  <c r="AB13" i="48"/>
  <c r="Y13" i="48"/>
  <c r="AJ9" i="48"/>
  <c r="X9" i="48"/>
  <c r="AC9" i="48"/>
  <c r="AI9" i="48"/>
  <c r="W9" i="48"/>
  <c r="AG9" i="48"/>
  <c r="AE9" i="48"/>
  <c r="AD9" i="48"/>
  <c r="AH9" i="48"/>
  <c r="V9" i="48"/>
  <c r="U9" i="48"/>
  <c r="AF9" i="48"/>
  <c r="AA9" i="48"/>
  <c r="Z9" i="48"/>
  <c r="AB9" i="48"/>
  <c r="Y9" i="48"/>
  <c r="AJ15" i="48"/>
  <c r="AI15" i="48"/>
  <c r="AG15" i="48"/>
  <c r="AH15" i="48"/>
  <c r="AF15" i="48"/>
  <c r="AE15" i="48"/>
  <c r="AD15" i="48"/>
  <c r="AH16" i="48"/>
  <c r="AJ16" i="48"/>
  <c r="AI16" i="48"/>
  <c r="AG16" i="48"/>
  <c r="AF16" i="48"/>
  <c r="AK16" i="48" s="1"/>
  <c r="AJ7" i="48"/>
  <c r="X7" i="48"/>
  <c r="AI7" i="48"/>
  <c r="W7" i="48"/>
  <c r="U7" i="48"/>
  <c r="S7" i="48"/>
  <c r="AD7" i="48"/>
  <c r="AB7" i="48"/>
  <c r="AH7" i="48"/>
  <c r="V7" i="48"/>
  <c r="AG7" i="48"/>
  <c r="AF7" i="48"/>
  <c r="T7" i="48"/>
  <c r="AE7" i="48"/>
  <c r="AC7" i="48"/>
  <c r="AA7" i="48"/>
  <c r="Z7" i="48"/>
  <c r="Y7" i="48"/>
  <c r="Q14" i="49"/>
  <c r="P26" i="48"/>
  <c r="AK15" i="48" l="1"/>
  <c r="AK10" i="48"/>
  <c r="AK8" i="48"/>
  <c r="T26" i="48"/>
  <c r="D26" i="64" s="1"/>
  <c r="D28" i="64" s="1"/>
  <c r="D35" i="64" s="1"/>
  <c r="D37" i="64" s="1"/>
  <c r="AK7" i="48"/>
  <c r="AK18" i="48"/>
  <c r="AK13" i="48"/>
  <c r="AK12" i="48"/>
  <c r="AK11" i="48"/>
  <c r="AK9" i="48"/>
  <c r="S26" i="48"/>
  <c r="C26" i="64" l="1"/>
  <c r="AK26" i="48"/>
  <c r="U26" i="48"/>
  <c r="E26" i="64" s="1"/>
  <c r="E28" i="64" s="1"/>
  <c r="E35" i="64" s="1"/>
  <c r="E37" i="64" s="1"/>
  <c r="C13" i="33" l="1"/>
  <c r="C28" i="64"/>
  <c r="C35" i="64" s="1"/>
  <c r="V26" i="48"/>
  <c r="F26" i="64" l="1"/>
  <c r="C37" i="64"/>
  <c r="C39" i="64" s="1"/>
  <c r="W26" i="48"/>
  <c r="G26" i="64" s="1"/>
  <c r="G28" i="64" s="1"/>
  <c r="G35" i="64" s="1"/>
  <c r="G37" i="64" s="1"/>
  <c r="B75" i="64" l="1"/>
  <c r="D5" i="64"/>
  <c r="D39" i="64" s="1"/>
  <c r="F28" i="64"/>
  <c r="F35" i="64" s="1"/>
  <c r="X26" i="48"/>
  <c r="H26" i="64" s="1"/>
  <c r="H28" i="64" s="1"/>
  <c r="H35" i="64" s="1"/>
  <c r="H37" i="64" s="1"/>
  <c r="R32" i="12"/>
  <c r="O32" i="12"/>
  <c r="G32" i="12"/>
  <c r="R32" i="9"/>
  <c r="G32" i="9"/>
  <c r="F37" i="64" l="1"/>
  <c r="D13" i="33"/>
  <c r="C75" i="64"/>
  <c r="E5" i="64"/>
  <c r="E39" i="64" s="1"/>
  <c r="Y26" i="48"/>
  <c r="K14" i="33"/>
  <c r="K17" i="33"/>
  <c r="O32" i="9"/>
  <c r="I26" i="64" l="1"/>
  <c r="D75" i="64"/>
  <c r="F5" i="64"/>
  <c r="F39" i="64" s="1"/>
  <c r="Z26" i="48"/>
  <c r="J26" i="64" s="1"/>
  <c r="J28" i="64" s="1"/>
  <c r="J35" i="64" s="1"/>
  <c r="J37" i="64" s="1"/>
  <c r="G33" i="9"/>
  <c r="K33" i="9" s="1"/>
  <c r="O33" i="9" s="1"/>
  <c r="G33" i="12"/>
  <c r="K33" i="12" s="1"/>
  <c r="O33" i="12" s="1"/>
  <c r="G5" i="64" l="1"/>
  <c r="G39" i="64" s="1"/>
  <c r="E75" i="64"/>
  <c r="I28" i="64"/>
  <c r="I35" i="64" s="1"/>
  <c r="AA26" i="48"/>
  <c r="K26" i="64" s="1"/>
  <c r="K28" i="64" s="1"/>
  <c r="K35" i="64" s="1"/>
  <c r="K37" i="64" s="1"/>
  <c r="K15" i="33"/>
  <c r="G45" i="9"/>
  <c r="K45" i="9" s="1"/>
  <c r="R45" i="9"/>
  <c r="I37" i="64" l="1"/>
  <c r="E13" i="33"/>
  <c r="H5" i="64"/>
  <c r="H39" i="64" s="1"/>
  <c r="F75" i="64"/>
  <c r="AB26" i="48"/>
  <c r="O45" i="9"/>
  <c r="N24" i="5"/>
  <c r="L26" i="64" l="1"/>
  <c r="G75" i="64"/>
  <c r="I5" i="64"/>
  <c r="I39" i="64" s="1"/>
  <c r="AC26" i="48"/>
  <c r="M26" i="64" s="1"/>
  <c r="M28" i="64" s="1"/>
  <c r="M35" i="64" s="1"/>
  <c r="M37" i="64" s="1"/>
  <c r="U19" i="9"/>
  <c r="D11" i="9" s="1"/>
  <c r="U18" i="12"/>
  <c r="U18" i="9"/>
  <c r="U17" i="12"/>
  <c r="D32" i="12" s="1"/>
  <c r="U17" i="9"/>
  <c r="J5" i="64" l="1"/>
  <c r="J39" i="64" s="1"/>
  <c r="H75" i="64"/>
  <c r="L28" i="64"/>
  <c r="L35" i="64" s="1"/>
  <c r="AD26" i="48"/>
  <c r="N26" i="64" s="1"/>
  <c r="N28" i="64" s="1"/>
  <c r="N35" i="64" s="1"/>
  <c r="N37" i="64" s="1"/>
  <c r="P32" i="12"/>
  <c r="Q32" i="12" s="1"/>
  <c r="H32" i="12"/>
  <c r="I32" i="12" s="1"/>
  <c r="E32" i="12"/>
  <c r="L32" i="12"/>
  <c r="M32" i="12" s="1"/>
  <c r="D45" i="9"/>
  <c r="H45" i="9" s="1"/>
  <c r="I45" i="9" s="1"/>
  <c r="D33" i="9"/>
  <c r="D32" i="9"/>
  <c r="E45" i="9"/>
  <c r="P45" i="9"/>
  <c r="Q45" i="9" s="1"/>
  <c r="G47" i="12"/>
  <c r="K47" i="12" s="1"/>
  <c r="R47" i="12"/>
  <c r="G46" i="12"/>
  <c r="K46" i="12" s="1"/>
  <c r="O46" i="12" s="1"/>
  <c r="R46" i="12"/>
  <c r="G44" i="12"/>
  <c r="K44" i="12" s="1"/>
  <c r="O44" i="12" s="1"/>
  <c r="R44" i="12"/>
  <c r="N50" i="12"/>
  <c r="J50" i="12"/>
  <c r="F50" i="12"/>
  <c r="B50" i="12"/>
  <c r="R49" i="12"/>
  <c r="G49" i="12"/>
  <c r="K49" i="12" s="1"/>
  <c r="O49" i="12" s="1"/>
  <c r="R48" i="12"/>
  <c r="G48" i="12"/>
  <c r="K48" i="12" s="1"/>
  <c r="O48" i="12" s="1"/>
  <c r="R45" i="12"/>
  <c r="G45" i="12"/>
  <c r="K45" i="12" s="1"/>
  <c r="O45" i="12" s="1"/>
  <c r="R43" i="12"/>
  <c r="G43" i="12"/>
  <c r="K43" i="12" s="1"/>
  <c r="O43" i="12" s="1"/>
  <c r="R42" i="12"/>
  <c r="G42" i="12"/>
  <c r="N39" i="12"/>
  <c r="J39" i="12"/>
  <c r="F39" i="12"/>
  <c r="B39" i="12"/>
  <c r="R38" i="12"/>
  <c r="R37" i="12"/>
  <c r="N35" i="12"/>
  <c r="J35" i="12"/>
  <c r="F35" i="12"/>
  <c r="B35" i="12"/>
  <c r="R34" i="12"/>
  <c r="R33" i="12"/>
  <c r="R31" i="12"/>
  <c r="G31" i="12"/>
  <c r="N28" i="12"/>
  <c r="J28" i="12"/>
  <c r="F28" i="12"/>
  <c r="B28" i="12"/>
  <c r="R27" i="12"/>
  <c r="R26" i="12"/>
  <c r="N23" i="12"/>
  <c r="J23" i="12"/>
  <c r="F23" i="12"/>
  <c r="B23" i="12"/>
  <c r="R22" i="12"/>
  <c r="R21" i="12"/>
  <c r="D44" i="12"/>
  <c r="D43" i="12"/>
  <c r="N17" i="12"/>
  <c r="J17" i="12"/>
  <c r="F17" i="12"/>
  <c r="B17" i="12"/>
  <c r="R16" i="12"/>
  <c r="D16" i="12"/>
  <c r="E16" i="12" s="1"/>
  <c r="R15" i="12"/>
  <c r="O15" i="12"/>
  <c r="K15" i="12"/>
  <c r="G15" i="12"/>
  <c r="D15" i="12"/>
  <c r="P15" i="12" s="1"/>
  <c r="C15" i="12"/>
  <c r="N12" i="12"/>
  <c r="J12" i="12"/>
  <c r="F12" i="12"/>
  <c r="B12" i="12"/>
  <c r="U11" i="12"/>
  <c r="U19" i="12" s="1"/>
  <c r="D11" i="12" s="1"/>
  <c r="E11" i="12" s="1"/>
  <c r="R11" i="12"/>
  <c r="R10" i="12"/>
  <c r="R9" i="12"/>
  <c r="G9" i="12"/>
  <c r="D9" i="12"/>
  <c r="L9" i="12" s="1"/>
  <c r="E33" i="9"/>
  <c r="N48" i="9"/>
  <c r="J48" i="9"/>
  <c r="F48" i="9"/>
  <c r="B48" i="9"/>
  <c r="R47" i="9"/>
  <c r="G47" i="9"/>
  <c r="K47" i="9" s="1"/>
  <c r="R46" i="9"/>
  <c r="G46" i="9"/>
  <c r="K46" i="9" s="1"/>
  <c r="R44" i="9"/>
  <c r="G44" i="9"/>
  <c r="K44" i="9" s="1"/>
  <c r="R43" i="9"/>
  <c r="G43" i="9"/>
  <c r="K43" i="9" s="1"/>
  <c r="R42" i="9"/>
  <c r="G42" i="9"/>
  <c r="R38" i="9"/>
  <c r="R37" i="9"/>
  <c r="R27" i="9"/>
  <c r="R26" i="9"/>
  <c r="R22" i="9"/>
  <c r="R21" i="9"/>
  <c r="N35" i="9"/>
  <c r="J35" i="9"/>
  <c r="F35" i="9"/>
  <c r="B35" i="9"/>
  <c r="R34" i="9"/>
  <c r="R33" i="9"/>
  <c r="R31" i="9"/>
  <c r="G31" i="9"/>
  <c r="N39" i="9"/>
  <c r="J39" i="9"/>
  <c r="F39" i="9"/>
  <c r="B39" i="9"/>
  <c r="P37" i="9"/>
  <c r="Q37" i="9" s="1"/>
  <c r="H37" i="9"/>
  <c r="I37" i="9" s="1"/>
  <c r="N28" i="9"/>
  <c r="J28" i="9"/>
  <c r="F28" i="9"/>
  <c r="B28" i="9"/>
  <c r="L26" i="9"/>
  <c r="M26" i="9" s="1"/>
  <c r="N23" i="9"/>
  <c r="J23" i="9"/>
  <c r="L21" i="9"/>
  <c r="M21" i="9" s="1"/>
  <c r="F23" i="9"/>
  <c r="B23" i="9"/>
  <c r="R16" i="9"/>
  <c r="R15" i="9"/>
  <c r="D47" i="9"/>
  <c r="O15" i="9"/>
  <c r="K15" i="9"/>
  <c r="G15" i="9"/>
  <c r="C15" i="9"/>
  <c r="N17" i="9"/>
  <c r="J17" i="9"/>
  <c r="F17" i="9"/>
  <c r="B17" i="9"/>
  <c r="G9" i="9"/>
  <c r="K9" i="9" s="1"/>
  <c r="R11" i="9"/>
  <c r="R10" i="9"/>
  <c r="R9" i="9"/>
  <c r="N12" i="9"/>
  <c r="J12" i="9"/>
  <c r="F12" i="9"/>
  <c r="B12" i="9"/>
  <c r="E14" i="8"/>
  <c r="E14" i="5"/>
  <c r="O24" i="8"/>
  <c r="L24" i="8"/>
  <c r="M24" i="8" s="1"/>
  <c r="J24" i="8"/>
  <c r="K24" i="8" s="1"/>
  <c r="H24" i="8"/>
  <c r="O23" i="8"/>
  <c r="M23" i="8"/>
  <c r="K23" i="8"/>
  <c r="I23" i="8"/>
  <c r="N21" i="8"/>
  <c r="L21" i="8"/>
  <c r="J21" i="8"/>
  <c r="H21" i="8"/>
  <c r="O20" i="8"/>
  <c r="M20" i="8"/>
  <c r="O19" i="8"/>
  <c r="M19" i="8"/>
  <c r="K19" i="8"/>
  <c r="I19" i="8"/>
  <c r="O18" i="8"/>
  <c r="M18" i="8"/>
  <c r="K18" i="8"/>
  <c r="I18" i="8"/>
  <c r="O17" i="8"/>
  <c r="M17" i="8"/>
  <c r="K17" i="8"/>
  <c r="I17" i="8"/>
  <c r="N14" i="8"/>
  <c r="L14" i="8"/>
  <c r="J14" i="8"/>
  <c r="H14" i="8"/>
  <c r="O13" i="8"/>
  <c r="M13" i="8"/>
  <c r="K13" i="8"/>
  <c r="I13" i="8"/>
  <c r="O12" i="8"/>
  <c r="M12" i="8"/>
  <c r="K12" i="8"/>
  <c r="I12" i="8"/>
  <c r="O11" i="8"/>
  <c r="M11" i="8"/>
  <c r="K11" i="8"/>
  <c r="I11" i="8"/>
  <c r="O8" i="8"/>
  <c r="M8" i="8"/>
  <c r="K8" i="8"/>
  <c r="I8" i="8"/>
  <c r="L37" i="64" l="1"/>
  <c r="F13" i="33"/>
  <c r="G13" i="33" s="1"/>
  <c r="K5" i="64"/>
  <c r="K39" i="64" s="1"/>
  <c r="I75" i="64"/>
  <c r="AE26" i="48"/>
  <c r="K21" i="8"/>
  <c r="R23" i="9"/>
  <c r="K42" i="12"/>
  <c r="O42" i="12" s="1"/>
  <c r="L45" i="9"/>
  <c r="M45" i="9" s="1"/>
  <c r="S45" i="9" s="1"/>
  <c r="T45" i="9" s="1"/>
  <c r="K31" i="12"/>
  <c r="O31" i="12" s="1"/>
  <c r="S32" i="12"/>
  <c r="T32" i="12" s="1"/>
  <c r="P32" i="9"/>
  <c r="Q32" i="9" s="1"/>
  <c r="L32" i="9"/>
  <c r="M32" i="9" s="1"/>
  <c r="E32" i="9"/>
  <c r="H32" i="9"/>
  <c r="I32" i="9" s="1"/>
  <c r="R17" i="12"/>
  <c r="O31" i="9"/>
  <c r="R17" i="9"/>
  <c r="R28" i="9"/>
  <c r="I24" i="8"/>
  <c r="R35" i="9"/>
  <c r="E15" i="12"/>
  <c r="E17" i="12" s="1"/>
  <c r="D43" i="9"/>
  <c r="E43" i="9" s="1"/>
  <c r="D42" i="9"/>
  <c r="L42" i="9" s="1"/>
  <c r="M42" i="9" s="1"/>
  <c r="D9" i="9"/>
  <c r="L9" i="9" s="1"/>
  <c r="D26" i="9"/>
  <c r="E26" i="9" s="1"/>
  <c r="D37" i="9"/>
  <c r="E37" i="9" s="1"/>
  <c r="L37" i="9"/>
  <c r="M37" i="9" s="1"/>
  <c r="N49" i="9"/>
  <c r="E44" i="12"/>
  <c r="H44" i="12"/>
  <c r="I44" i="12" s="1"/>
  <c r="L44" i="12"/>
  <c r="M44" i="12" s="1"/>
  <c r="P44" i="12"/>
  <c r="Q44" i="12" s="1"/>
  <c r="D46" i="12"/>
  <c r="D47" i="12"/>
  <c r="H47" i="12" s="1"/>
  <c r="I47" i="12" s="1"/>
  <c r="O47" i="12"/>
  <c r="E9" i="12"/>
  <c r="H9" i="12"/>
  <c r="I9" i="12" s="1"/>
  <c r="P9" i="12"/>
  <c r="D21" i="12"/>
  <c r="E21" i="12" s="1"/>
  <c r="L21" i="12"/>
  <c r="M21" i="12" s="1"/>
  <c r="P37" i="12"/>
  <c r="Q37" i="12" s="1"/>
  <c r="J49" i="9"/>
  <c r="K9" i="12"/>
  <c r="O9" i="12" s="1"/>
  <c r="H21" i="12"/>
  <c r="I21" i="12" s="1"/>
  <c r="P21" i="12"/>
  <c r="Q21" i="12" s="1"/>
  <c r="H37" i="12"/>
  <c r="I37" i="12" s="1"/>
  <c r="D42" i="12"/>
  <c r="E42" i="12" s="1"/>
  <c r="R50" i="12"/>
  <c r="R39" i="12"/>
  <c r="R35" i="12"/>
  <c r="R28" i="12"/>
  <c r="R23" i="12"/>
  <c r="J51" i="12"/>
  <c r="R12" i="12"/>
  <c r="B51" i="12"/>
  <c r="Q15" i="12"/>
  <c r="H11" i="12"/>
  <c r="I11" i="12" s="1"/>
  <c r="L11" i="12"/>
  <c r="M11" i="12" s="1"/>
  <c r="P11" i="12"/>
  <c r="Q11" i="12" s="1"/>
  <c r="H16" i="12"/>
  <c r="I16" i="12" s="1"/>
  <c r="L16" i="12"/>
  <c r="M16" i="12" s="1"/>
  <c r="P16" i="12"/>
  <c r="Q16" i="12" s="1"/>
  <c r="P38" i="12"/>
  <c r="Q38" i="12" s="1"/>
  <c r="L38" i="12"/>
  <c r="M38" i="12" s="1"/>
  <c r="H38" i="12"/>
  <c r="I38" i="12" s="1"/>
  <c r="D38" i="12"/>
  <c r="E38" i="12" s="1"/>
  <c r="H27" i="12"/>
  <c r="I27" i="12" s="1"/>
  <c r="P27" i="12"/>
  <c r="Q27" i="12" s="1"/>
  <c r="D34" i="12"/>
  <c r="P43" i="12"/>
  <c r="Q43" i="12" s="1"/>
  <c r="H43" i="12"/>
  <c r="I43" i="12" s="1"/>
  <c r="E43" i="12"/>
  <c r="D45" i="12"/>
  <c r="D48" i="12"/>
  <c r="D49" i="12"/>
  <c r="D10" i="12"/>
  <c r="H15" i="12"/>
  <c r="L15" i="12" s="1"/>
  <c r="M15" i="12" s="1"/>
  <c r="D33" i="12"/>
  <c r="D31" i="12"/>
  <c r="P26" i="12"/>
  <c r="Q26" i="12" s="1"/>
  <c r="L26" i="12"/>
  <c r="M26" i="12" s="1"/>
  <c r="H26" i="12"/>
  <c r="I26" i="12" s="1"/>
  <c r="D26" i="12"/>
  <c r="E26" i="12" s="1"/>
  <c r="D22" i="12"/>
  <c r="E22" i="12" s="1"/>
  <c r="H22" i="12"/>
  <c r="I22" i="12" s="1"/>
  <c r="L22" i="12"/>
  <c r="M22" i="12" s="1"/>
  <c r="P22" i="12"/>
  <c r="Q22" i="12" s="1"/>
  <c r="D27" i="12"/>
  <c r="E27" i="12" s="1"/>
  <c r="L27" i="12"/>
  <c r="M27" i="12" s="1"/>
  <c r="D37" i="12"/>
  <c r="E37" i="12" s="1"/>
  <c r="L37" i="12"/>
  <c r="M37" i="12" s="1"/>
  <c r="L43" i="12"/>
  <c r="M43" i="12" s="1"/>
  <c r="F51" i="12"/>
  <c r="N51" i="12"/>
  <c r="F49" i="9"/>
  <c r="R48" i="9"/>
  <c r="B49" i="9"/>
  <c r="R39" i="9"/>
  <c r="P47" i="9"/>
  <c r="E47" i="9"/>
  <c r="P11" i="9"/>
  <c r="Q11" i="9" s="1"/>
  <c r="D16" i="9"/>
  <c r="D22" i="9"/>
  <c r="E22" i="9" s="1"/>
  <c r="H22" i="9"/>
  <c r="I22" i="9" s="1"/>
  <c r="P22" i="9"/>
  <c r="Q22" i="9" s="1"/>
  <c r="D27" i="9"/>
  <c r="E27" i="9" s="1"/>
  <c r="H27" i="9"/>
  <c r="I27" i="9" s="1"/>
  <c r="L27" i="9"/>
  <c r="M27" i="9" s="1"/>
  <c r="M28" i="9" s="1"/>
  <c r="D38" i="9"/>
  <c r="E38" i="9" s="1"/>
  <c r="L38" i="9"/>
  <c r="M38" i="9" s="1"/>
  <c r="D46" i="9"/>
  <c r="L46" i="9" s="1"/>
  <c r="M46" i="9" s="1"/>
  <c r="R12" i="9"/>
  <c r="D10" i="9"/>
  <c r="P10" i="9" s="1"/>
  <c r="D15" i="9"/>
  <c r="E15" i="9" s="1"/>
  <c r="D21" i="9"/>
  <c r="E21" i="9" s="1"/>
  <c r="E23" i="9" s="1"/>
  <c r="H21" i="9"/>
  <c r="I21" i="9" s="1"/>
  <c r="L22" i="9"/>
  <c r="M22" i="9" s="1"/>
  <c r="M23" i="9" s="1"/>
  <c r="P21" i="9"/>
  <c r="Q21" i="9" s="1"/>
  <c r="H26" i="9"/>
  <c r="I26" i="9" s="1"/>
  <c r="P26" i="9"/>
  <c r="Q26" i="9" s="1"/>
  <c r="P27" i="9"/>
  <c r="Q27" i="9" s="1"/>
  <c r="H38" i="9"/>
  <c r="I38" i="9" s="1"/>
  <c r="I39" i="9" s="1"/>
  <c r="P38" i="9"/>
  <c r="Q38" i="9" s="1"/>
  <c r="P33" i="9"/>
  <c r="Q33" i="9" s="1"/>
  <c r="D31" i="9"/>
  <c r="P31" i="9" s="1"/>
  <c r="D34" i="9"/>
  <c r="E34" i="9" s="1"/>
  <c r="D44" i="9"/>
  <c r="O42" i="9"/>
  <c r="O43" i="9"/>
  <c r="O44" i="9"/>
  <c r="O46" i="9"/>
  <c r="L47" i="9"/>
  <c r="M47" i="9" s="1"/>
  <c r="O47" i="9"/>
  <c r="H47" i="9"/>
  <c r="I47" i="9" s="1"/>
  <c r="H33" i="9"/>
  <c r="I33" i="9" s="1"/>
  <c r="L33" i="9"/>
  <c r="M33" i="9" s="1"/>
  <c r="O9" i="9"/>
  <c r="E9" i="9"/>
  <c r="H11" i="9"/>
  <c r="I11" i="9" s="1"/>
  <c r="P23" i="8"/>
  <c r="P20" i="8"/>
  <c r="M21" i="8"/>
  <c r="I21" i="8"/>
  <c r="O14" i="8"/>
  <c r="M14" i="8"/>
  <c r="K14" i="8"/>
  <c r="I14" i="8"/>
  <c r="P8" i="8"/>
  <c r="P12" i="8"/>
  <c r="P13" i="8"/>
  <c r="P17" i="8"/>
  <c r="P18" i="8"/>
  <c r="P19" i="8"/>
  <c r="P24" i="8"/>
  <c r="O21" i="8"/>
  <c r="P11" i="8"/>
  <c r="O26" i="64" l="1"/>
  <c r="O28" i="64" s="1"/>
  <c r="O35" i="64" s="1"/>
  <c r="J75" i="64"/>
  <c r="L5" i="64"/>
  <c r="L39" i="64" s="1"/>
  <c r="I28" i="9"/>
  <c r="AF26" i="48"/>
  <c r="P26" i="64" s="1"/>
  <c r="P28" i="64" s="1"/>
  <c r="P35" i="64" s="1"/>
  <c r="P37" i="64" s="1"/>
  <c r="I23" i="9"/>
  <c r="P9" i="9"/>
  <c r="P42" i="12"/>
  <c r="Q42" i="12" s="1"/>
  <c r="M9" i="12"/>
  <c r="H9" i="9"/>
  <c r="I9" i="9" s="1"/>
  <c r="S32" i="9"/>
  <c r="T32" i="9" s="1"/>
  <c r="Q31" i="9"/>
  <c r="H42" i="9"/>
  <c r="I42" i="9" s="1"/>
  <c r="I23" i="12"/>
  <c r="P42" i="9"/>
  <c r="Q42" i="9" s="1"/>
  <c r="H34" i="9"/>
  <c r="I34" i="9" s="1"/>
  <c r="L34" i="9"/>
  <c r="M34" i="9" s="1"/>
  <c r="S44" i="12"/>
  <c r="T44" i="12" s="1"/>
  <c r="S27" i="9"/>
  <c r="T27" i="9" s="1"/>
  <c r="E39" i="9"/>
  <c r="Q23" i="9"/>
  <c r="L42" i="12"/>
  <c r="M42" i="12" s="1"/>
  <c r="H42" i="12"/>
  <c r="I42" i="12" s="1"/>
  <c r="M23" i="12"/>
  <c r="S21" i="12"/>
  <c r="T21" i="12" s="1"/>
  <c r="Q47" i="9"/>
  <c r="S47" i="9" s="1"/>
  <c r="T47" i="9" s="1"/>
  <c r="S37" i="9"/>
  <c r="T37" i="9" s="1"/>
  <c r="H10" i="9"/>
  <c r="I10" i="9" s="1"/>
  <c r="M39" i="12"/>
  <c r="P34" i="9"/>
  <c r="Q34" i="9" s="1"/>
  <c r="Q9" i="12"/>
  <c r="M17" i="12"/>
  <c r="M39" i="9"/>
  <c r="E28" i="9"/>
  <c r="E42" i="9"/>
  <c r="H43" i="9"/>
  <c r="I43" i="9" s="1"/>
  <c r="P43" i="9"/>
  <c r="Q43" i="9" s="1"/>
  <c r="L43" i="9"/>
  <c r="M43" i="9" s="1"/>
  <c r="L11" i="9"/>
  <c r="M11" i="9" s="1"/>
  <c r="L10" i="9"/>
  <c r="M10" i="9" s="1"/>
  <c r="R49" i="9"/>
  <c r="E46" i="12"/>
  <c r="H46" i="12"/>
  <c r="I46" i="12" s="1"/>
  <c r="L46" i="12"/>
  <c r="M46" i="12" s="1"/>
  <c r="P46" i="12"/>
  <c r="Q46" i="12" s="1"/>
  <c r="E47" i="12"/>
  <c r="P47" i="12"/>
  <c r="Q47" i="12" s="1"/>
  <c r="L47" i="12"/>
  <c r="M47" i="12" s="1"/>
  <c r="E39" i="12"/>
  <c r="E23" i="12"/>
  <c r="I39" i="12"/>
  <c r="Q39" i="12"/>
  <c r="E28" i="12"/>
  <c r="S11" i="12"/>
  <c r="T11" i="12" s="1"/>
  <c r="R51" i="12"/>
  <c r="I28" i="12"/>
  <c r="S22" i="12"/>
  <c r="T22" i="12" s="1"/>
  <c r="S43" i="12"/>
  <c r="T43" i="12" s="1"/>
  <c r="M28" i="12"/>
  <c r="L31" i="12"/>
  <c r="M31" i="12" s="1"/>
  <c r="P31" i="12"/>
  <c r="Q31" i="12" s="1"/>
  <c r="H31" i="12"/>
  <c r="I31" i="12" s="1"/>
  <c r="E31" i="12"/>
  <c r="P49" i="12"/>
  <c r="Q49" i="12" s="1"/>
  <c r="H49" i="12"/>
  <c r="I49" i="12" s="1"/>
  <c r="E49" i="12"/>
  <c r="L49" i="12"/>
  <c r="M49" i="12" s="1"/>
  <c r="P45" i="12"/>
  <c r="Q45" i="12" s="1"/>
  <c r="H45" i="12"/>
  <c r="I45" i="12" s="1"/>
  <c r="E45" i="12"/>
  <c r="L45" i="12"/>
  <c r="M45" i="12" s="1"/>
  <c r="E34" i="12"/>
  <c r="P34" i="12"/>
  <c r="Q34" i="12" s="1"/>
  <c r="H34" i="12"/>
  <c r="I34" i="12" s="1"/>
  <c r="L34" i="12"/>
  <c r="M34" i="12" s="1"/>
  <c r="S38" i="12"/>
  <c r="T38" i="12" s="1"/>
  <c r="I15" i="12"/>
  <c r="I17" i="12" s="1"/>
  <c r="Q23" i="12"/>
  <c r="Q28" i="12"/>
  <c r="S26" i="12"/>
  <c r="T26" i="12" s="1"/>
  <c r="P33" i="12"/>
  <c r="Q33" i="12" s="1"/>
  <c r="L33" i="12"/>
  <c r="M33" i="12" s="1"/>
  <c r="H33" i="12"/>
  <c r="I33" i="12" s="1"/>
  <c r="E33" i="12"/>
  <c r="P10" i="12"/>
  <c r="Q10" i="12" s="1"/>
  <c r="L10" i="12"/>
  <c r="M10" i="12" s="1"/>
  <c r="H10" i="12"/>
  <c r="I10" i="12" s="1"/>
  <c r="I12" i="12" s="1"/>
  <c r="E10" i="12"/>
  <c r="E12" i="12" s="1"/>
  <c r="P48" i="12"/>
  <c r="Q48" i="12" s="1"/>
  <c r="H48" i="12"/>
  <c r="I48" i="12" s="1"/>
  <c r="E48" i="12"/>
  <c r="L48" i="12"/>
  <c r="M48" i="12" s="1"/>
  <c r="S37" i="12"/>
  <c r="T37" i="12" s="1"/>
  <c r="S27" i="12"/>
  <c r="T27" i="12" s="1"/>
  <c r="S16" i="12"/>
  <c r="T16" i="12" s="1"/>
  <c r="Q17" i="12"/>
  <c r="E11" i="9"/>
  <c r="E10" i="9"/>
  <c r="S21" i="9"/>
  <c r="T21" i="9" s="1"/>
  <c r="H44" i="9"/>
  <c r="I44" i="9" s="1"/>
  <c r="E44" i="9"/>
  <c r="P44" i="9"/>
  <c r="Q44" i="9" s="1"/>
  <c r="Q28" i="9"/>
  <c r="S26" i="9"/>
  <c r="T26" i="9" s="1"/>
  <c r="P15" i="9"/>
  <c r="Q15" i="9" s="1"/>
  <c r="H15" i="9"/>
  <c r="L15" i="9" s="1"/>
  <c r="M15" i="9" s="1"/>
  <c r="E16" i="9"/>
  <c r="E17" i="9" s="1"/>
  <c r="L16" i="9"/>
  <c r="M16" i="9" s="1"/>
  <c r="P16" i="9"/>
  <c r="Q16" i="9" s="1"/>
  <c r="H16" i="9"/>
  <c r="I16" i="9" s="1"/>
  <c r="L44" i="9"/>
  <c r="M44" i="9" s="1"/>
  <c r="H31" i="9"/>
  <c r="I31" i="9" s="1"/>
  <c r="E31" i="9"/>
  <c r="E35" i="9" s="1"/>
  <c r="L31" i="9"/>
  <c r="M31" i="9" s="1"/>
  <c r="S38" i="9"/>
  <c r="T38" i="9" s="1"/>
  <c r="H46" i="9"/>
  <c r="I46" i="9" s="1"/>
  <c r="P46" i="9"/>
  <c r="Q46" i="9" s="1"/>
  <c r="E46" i="9"/>
  <c r="S22" i="9"/>
  <c r="T22" i="9" s="1"/>
  <c r="Q39" i="9"/>
  <c r="S33" i="9"/>
  <c r="T33" i="9" s="1"/>
  <c r="Q35" i="9"/>
  <c r="Q10" i="9"/>
  <c r="M9" i="9"/>
  <c r="Q9" i="9"/>
  <c r="P14" i="8"/>
  <c r="P21" i="8"/>
  <c r="K75" i="64" l="1"/>
  <c r="M5" i="64"/>
  <c r="M39" i="64" s="1"/>
  <c r="O37" i="64"/>
  <c r="AG26" i="48"/>
  <c r="Q26" i="64" s="1"/>
  <c r="Q28" i="64" s="1"/>
  <c r="Q35" i="64" s="1"/>
  <c r="Q37" i="64" s="1"/>
  <c r="S15" i="12"/>
  <c r="T15" i="12" s="1"/>
  <c r="T23" i="9"/>
  <c r="S9" i="12"/>
  <c r="T9" i="12" s="1"/>
  <c r="M12" i="12"/>
  <c r="T23" i="12"/>
  <c r="I35" i="9"/>
  <c r="T28" i="9"/>
  <c r="S34" i="9"/>
  <c r="T34" i="9" s="1"/>
  <c r="S42" i="9"/>
  <c r="T42" i="9" s="1"/>
  <c r="S42" i="12"/>
  <c r="T42" i="12" s="1"/>
  <c r="I15" i="9"/>
  <c r="S15" i="9" s="1"/>
  <c r="T15" i="9" s="1"/>
  <c r="T39" i="12"/>
  <c r="T39" i="9"/>
  <c r="M48" i="9"/>
  <c r="T17" i="12"/>
  <c r="S47" i="12"/>
  <c r="T47" i="12" s="1"/>
  <c r="S43" i="9"/>
  <c r="T43" i="9" s="1"/>
  <c r="S31" i="9"/>
  <c r="S46" i="12"/>
  <c r="T46" i="12" s="1"/>
  <c r="I50" i="12"/>
  <c r="M12" i="9"/>
  <c r="M50" i="12"/>
  <c r="E50" i="12"/>
  <c r="S48" i="12"/>
  <c r="T48" i="12" s="1"/>
  <c r="S10" i="12"/>
  <c r="T10" i="12" s="1"/>
  <c r="Q12" i="12"/>
  <c r="S33" i="12"/>
  <c r="T33" i="12" s="1"/>
  <c r="S34" i="12"/>
  <c r="T34" i="12" s="1"/>
  <c r="S45" i="12"/>
  <c r="T45" i="12" s="1"/>
  <c r="S49" i="12"/>
  <c r="T49" i="12" s="1"/>
  <c r="I35" i="12"/>
  <c r="M35" i="12"/>
  <c r="T28" i="12"/>
  <c r="E35" i="12"/>
  <c r="S31" i="12"/>
  <c r="Q35" i="12"/>
  <c r="Q50" i="12"/>
  <c r="Q12" i="9"/>
  <c r="I12" i="9"/>
  <c r="S10" i="9"/>
  <c r="T10" i="9" s="1"/>
  <c r="M17" i="9"/>
  <c r="M35" i="9"/>
  <c r="S46" i="9"/>
  <c r="T46" i="9" s="1"/>
  <c r="E48" i="9"/>
  <c r="I48" i="9"/>
  <c r="S44" i="9"/>
  <c r="T44" i="9" s="1"/>
  <c r="E12" i="9"/>
  <c r="Q48" i="9"/>
  <c r="S11" i="9"/>
  <c r="T11" i="9" s="1"/>
  <c r="Q17" i="9"/>
  <c r="S16" i="9"/>
  <c r="T16" i="9" s="1"/>
  <c r="S9" i="9"/>
  <c r="T9" i="9" s="1"/>
  <c r="P26" i="8"/>
  <c r="I13" i="33" l="1"/>
  <c r="L75" i="64"/>
  <c r="N5" i="64"/>
  <c r="N39" i="64" s="1"/>
  <c r="AH26" i="48"/>
  <c r="I17" i="9"/>
  <c r="F40" i="27"/>
  <c r="S35" i="9"/>
  <c r="T17" i="9"/>
  <c r="T48" i="9"/>
  <c r="T31" i="9"/>
  <c r="T35" i="9" s="1"/>
  <c r="T50" i="12"/>
  <c r="T12" i="12"/>
  <c r="T31" i="12"/>
  <c r="T35" i="12" s="1"/>
  <c r="S35" i="12"/>
  <c r="S12" i="12"/>
  <c r="T12" i="9"/>
  <c r="S12" i="9"/>
  <c r="O5" i="64" l="1"/>
  <c r="O39" i="64" s="1"/>
  <c r="M75" i="64"/>
  <c r="R26" i="64"/>
  <c r="R28" i="64" s="1"/>
  <c r="R35" i="64" s="1"/>
  <c r="R37" i="64" s="1"/>
  <c r="I16" i="33"/>
  <c r="I18" i="33" s="1"/>
  <c r="I20" i="33" s="1"/>
  <c r="AJ26" i="48"/>
  <c r="T26" i="64" s="1"/>
  <c r="AI26" i="48"/>
  <c r="S26" i="64" s="1"/>
  <c r="S28" i="64" s="1"/>
  <c r="S35" i="64" s="1"/>
  <c r="S37" i="64" s="1"/>
  <c r="T49" i="9"/>
  <c r="T51" i="12"/>
  <c r="T28" i="64" l="1"/>
  <c r="T35" i="64" s="1"/>
  <c r="U26" i="64"/>
  <c r="J13" i="33"/>
  <c r="P5" i="64"/>
  <c r="P39" i="64" s="1"/>
  <c r="Q5" i="64" s="1"/>
  <c r="Q39" i="64" s="1"/>
  <c r="R5" i="64" s="1"/>
  <c r="R39" i="64" s="1"/>
  <c r="N75" i="64"/>
  <c r="E40" i="27"/>
  <c r="H40" i="27" s="1"/>
  <c r="H37" i="27"/>
  <c r="O8" i="5"/>
  <c r="M8" i="5"/>
  <c r="K8" i="5"/>
  <c r="I8" i="5"/>
  <c r="L24" i="5"/>
  <c r="J24" i="5"/>
  <c r="K24" i="5" s="1"/>
  <c r="H24" i="5"/>
  <c r="I24" i="5" s="1"/>
  <c r="O23" i="5"/>
  <c r="M23" i="5"/>
  <c r="K23" i="5"/>
  <c r="I23" i="5"/>
  <c r="N14" i="5"/>
  <c r="L14" i="5"/>
  <c r="J14" i="5"/>
  <c r="H14" i="5"/>
  <c r="J21" i="5"/>
  <c r="L21" i="5"/>
  <c r="N21" i="5"/>
  <c r="H21" i="5"/>
  <c r="M18" i="5"/>
  <c r="M20" i="5"/>
  <c r="O20" i="5"/>
  <c r="O19" i="5"/>
  <c r="M19" i="5"/>
  <c r="K19" i="5"/>
  <c r="I19" i="5"/>
  <c r="O18" i="5"/>
  <c r="K18" i="5"/>
  <c r="I18" i="5"/>
  <c r="O17" i="5"/>
  <c r="M17" i="5"/>
  <c r="K17" i="5"/>
  <c r="I17" i="5"/>
  <c r="O13" i="5"/>
  <c r="O12" i="5"/>
  <c r="O11" i="5"/>
  <c r="M13" i="5"/>
  <c r="M12" i="5"/>
  <c r="M11" i="5"/>
  <c r="K13" i="5"/>
  <c r="K12" i="5"/>
  <c r="K11" i="5"/>
  <c r="I12" i="5"/>
  <c r="I13" i="5"/>
  <c r="I11" i="5"/>
  <c r="J16" i="33" l="1"/>
  <c r="J18" i="33" s="1"/>
  <c r="J20" i="33" s="1"/>
  <c r="K13" i="33"/>
  <c r="W26" i="64"/>
  <c r="U28" i="64"/>
  <c r="S5" i="64"/>
  <c r="S39" i="64" s="1"/>
  <c r="O75" i="64"/>
  <c r="T37" i="64"/>
  <c r="U35" i="64"/>
  <c r="U37" i="64" s="1"/>
  <c r="U39" i="64" s="1"/>
  <c r="K49" i="36"/>
  <c r="M24" i="5"/>
  <c r="O24" i="5"/>
  <c r="M21" i="5"/>
  <c r="P20" i="5"/>
  <c r="K14" i="5"/>
  <c r="P23" i="5"/>
  <c r="I14" i="5"/>
  <c r="O14" i="5"/>
  <c r="M14" i="5"/>
  <c r="I21" i="5"/>
  <c r="K21" i="5"/>
  <c r="O21" i="5"/>
  <c r="P8" i="5"/>
  <c r="P19" i="5"/>
  <c r="P18" i="5"/>
  <c r="P17" i="5"/>
  <c r="P11" i="5"/>
  <c r="P13" i="5"/>
  <c r="P12" i="5"/>
  <c r="M13" i="33" l="1"/>
  <c r="K16" i="33"/>
  <c r="K18" i="33" s="1"/>
  <c r="K20" i="33" s="1"/>
  <c r="P75" i="64"/>
  <c r="T5" i="64"/>
  <c r="T39" i="64" s="1"/>
  <c r="Q75" i="64" s="1"/>
  <c r="E24" i="27"/>
  <c r="K50" i="36"/>
  <c r="D24" i="27"/>
  <c r="P24" i="5"/>
  <c r="P14" i="5"/>
  <c r="P21" i="5"/>
  <c r="O13" i="33" l="1"/>
  <c r="N13" i="33"/>
  <c r="C24" i="27"/>
  <c r="P26" i="5"/>
  <c r="F24" i="27" l="1"/>
  <c r="H24" i="27" s="1"/>
  <c r="H23" i="27"/>
  <c r="H14" i="36" l="1"/>
  <c r="H16" i="36" s="1"/>
  <c r="H53" i="36" s="1"/>
  <c r="J14" i="36"/>
  <c r="J16" i="36" s="1"/>
  <c r="J53" i="36" s="1"/>
  <c r="I14" i="36"/>
  <c r="I16" i="36" s="1"/>
  <c r="I53" i="36" s="1"/>
  <c r="E14" i="36"/>
  <c r="G14" i="36"/>
  <c r="G16" i="36" s="1"/>
  <c r="G53" i="36" s="1"/>
  <c r="I55" i="36" l="1"/>
  <c r="J55" i="36"/>
  <c r="G55" i="36"/>
  <c r="H55" i="36"/>
  <c r="K14" i="36"/>
  <c r="K16" i="36" l="1"/>
  <c r="K53" i="36" l="1"/>
  <c r="K55" i="36" l="1"/>
  <c r="D16" i="33" l="1"/>
  <c r="F16" i="33"/>
  <c r="E16" i="33"/>
  <c r="G14" i="33" l="1"/>
  <c r="F18" i="33"/>
  <c r="F20" i="33" s="1"/>
  <c r="E18" i="33"/>
  <c r="E20" i="33" s="1"/>
  <c r="D18" i="33"/>
  <c r="D20" i="33" s="1"/>
  <c r="H55" i="27"/>
  <c r="H53" i="27"/>
  <c r="H54" i="27"/>
  <c r="G17" i="33" l="1"/>
  <c r="M17" i="33" s="1"/>
  <c r="M14" i="33"/>
  <c r="N14" i="33" s="1"/>
  <c r="C16" i="33"/>
  <c r="G15" i="33"/>
  <c r="H29" i="27"/>
  <c r="H27" i="27"/>
  <c r="H28" i="27"/>
  <c r="M15" i="33" l="1"/>
  <c r="C18" i="33"/>
  <c r="C20" i="33" s="1"/>
  <c r="G16" i="33"/>
  <c r="H59" i="27"/>
  <c r="N15" i="33" l="1"/>
  <c r="O15" i="33"/>
  <c r="M16" i="33"/>
  <c r="N16" i="33" s="1"/>
  <c r="G18" i="33"/>
  <c r="G20" i="33" s="1"/>
  <c r="H57" i="27"/>
  <c r="H30" i="27"/>
  <c r="F19" i="27"/>
  <c r="M18" i="33" l="1"/>
  <c r="C19" i="27"/>
  <c r="M20" i="33" l="1"/>
  <c r="N20" i="33" s="1"/>
  <c r="N18" i="33"/>
  <c r="E19" i="27"/>
  <c r="H52" i="27"/>
  <c r="H58" i="27"/>
  <c r="H60" i="27" s="1"/>
  <c r="H26" i="27"/>
  <c r="D19" i="27" l="1"/>
  <c r="H16" i="27"/>
  <c r="H19" i="27" l="1"/>
  <c r="D34" i="27" l="1"/>
  <c r="D43" i="27" s="1"/>
  <c r="E34" i="27"/>
  <c r="E43" i="27" s="1"/>
  <c r="F34" i="27"/>
  <c r="F43" i="27" s="1"/>
  <c r="H32" i="27" l="1"/>
  <c r="C34" i="27"/>
  <c r="C43" i="27" l="1"/>
  <c r="H34" i="27"/>
  <c r="H43" i="27" l="1"/>
  <c r="C45" i="27"/>
  <c r="D13" i="27" s="1"/>
  <c r="D45" i="27" s="1"/>
  <c r="E13" i="27" s="1"/>
  <c r="E45" i="27" s="1"/>
  <c r="F13" i="27" s="1"/>
  <c r="F45" i="27" s="1"/>
  <c r="H45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Zohar</author>
  </authors>
  <commentList>
    <comment ref="D10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Zohar:</t>
        </r>
        <r>
          <rPr>
            <sz val="8"/>
            <color indexed="81"/>
            <rFont val="Tahoma"/>
            <family val="2"/>
          </rPr>
          <t xml:space="preserve">
Self underwriting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zohar.bar.chen</author>
  </authors>
  <commentList>
    <comment ref="A29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zohar.bar.chen:</t>
        </r>
        <r>
          <rPr>
            <sz val="8"/>
            <color indexed="81"/>
            <rFont val="Tahoma"/>
            <family val="2"/>
          </rPr>
          <t xml:space="preserve">
בניטרול פחת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zohar.bar.chen</author>
  </authors>
  <commentList>
    <comment ref="E13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zohar.bar.chen:</t>
        </r>
        <r>
          <rPr>
            <sz val="8"/>
            <color indexed="81"/>
            <rFont val="Tahoma"/>
            <family val="2"/>
          </rPr>
          <t xml:space="preserve">
הנחה ש75% מהפלו יבוא מסקסו.
בסקסו אין לנו הכנסות רולים</t>
        </r>
      </text>
    </comment>
    <comment ref="D24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zohar.bar.chen:</t>
        </r>
        <r>
          <rPr>
            <sz val="8"/>
            <color indexed="81"/>
            <rFont val="Tahoma"/>
            <family val="2"/>
          </rPr>
          <t xml:space="preserve">
INC CRM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zohar.bar.chen</author>
    <author>Doron Cohen</author>
  </authors>
  <commentList>
    <comment ref="V12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zohar.bar.chen:</t>
        </r>
        <r>
          <rPr>
            <sz val="8"/>
            <color indexed="81"/>
            <rFont val="Tahoma"/>
            <family val="2"/>
          </rPr>
          <t xml:space="preserve">
חופשה +הבראה
</t>
        </r>
      </text>
    </comment>
    <comment ref="A36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Doron Cohen:</t>
        </r>
        <r>
          <rPr>
            <sz val="9"/>
            <color indexed="81"/>
            <rFont val="Tahoma"/>
            <family val="2"/>
          </rPr>
          <t xml:space="preserve">
Remove Title</t>
        </r>
      </text>
    </comment>
  </commentList>
</comments>
</file>

<file path=xl/sharedStrings.xml><?xml version="1.0" encoding="utf-8"?>
<sst xmlns="http://schemas.openxmlformats.org/spreadsheetml/2006/main" count="1896" uniqueCount="480">
  <si>
    <t>Revenues</t>
  </si>
  <si>
    <t>Total Revenues</t>
  </si>
  <si>
    <t>Sales &amp; Marketing</t>
  </si>
  <si>
    <t>G&amp;A Expenses</t>
  </si>
  <si>
    <t>Other</t>
  </si>
  <si>
    <t>Expenses</t>
  </si>
  <si>
    <t>Total Expenses</t>
  </si>
  <si>
    <t>EBITDA</t>
  </si>
  <si>
    <t>Depreciation</t>
  </si>
  <si>
    <t>USDILS</t>
  </si>
  <si>
    <t>Medium Clients</t>
  </si>
  <si>
    <t>Q1</t>
  </si>
  <si>
    <t>Q2</t>
  </si>
  <si>
    <t>Q3</t>
  </si>
  <si>
    <t>Q4</t>
  </si>
  <si>
    <t>Income</t>
  </si>
  <si>
    <t>Client No.</t>
  </si>
  <si>
    <t>FEED</t>
  </si>
  <si>
    <t>Actual</t>
  </si>
  <si>
    <t>Virtual</t>
  </si>
  <si>
    <t>RO</t>
  </si>
  <si>
    <t>Monthly support</t>
  </si>
  <si>
    <t>Large Clients (&gt;2 Yard)</t>
  </si>
  <si>
    <t>Total</t>
  </si>
  <si>
    <t>USD</t>
  </si>
  <si>
    <t>Actual Annual Groth</t>
  </si>
  <si>
    <t>Virtual Annual Groth</t>
  </si>
  <si>
    <t xml:space="preserve"> Volume</t>
  </si>
  <si>
    <t>Large Clients (&gt;1 Yard)</t>
  </si>
  <si>
    <t>Strategic Clients (&gt;4 yards)</t>
  </si>
  <si>
    <t xml:space="preserve"> Commision/RATE</t>
  </si>
  <si>
    <t>PL Setup</t>
  </si>
  <si>
    <t>R&amp;D</t>
  </si>
  <si>
    <t>QA</t>
  </si>
  <si>
    <t>Dealing</t>
  </si>
  <si>
    <t>Chief Dealer</t>
  </si>
  <si>
    <t>Support Manager</t>
  </si>
  <si>
    <t>Dealers</t>
  </si>
  <si>
    <t>Integration</t>
  </si>
  <si>
    <t>Integration Manager</t>
  </si>
  <si>
    <t>integrators</t>
  </si>
  <si>
    <t>CEO's</t>
  </si>
  <si>
    <t>CFO</t>
  </si>
  <si>
    <t>Book keepers</t>
  </si>
  <si>
    <t xml:space="preserve">IT </t>
  </si>
  <si>
    <t>Office Manager</t>
  </si>
  <si>
    <t>No of Employees</t>
  </si>
  <si>
    <t>Cost ILS</t>
  </si>
  <si>
    <t>Total ILS</t>
  </si>
  <si>
    <t>%</t>
  </si>
  <si>
    <t>Total USD</t>
  </si>
  <si>
    <t>גמל</t>
  </si>
  <si>
    <t>פיצויים</t>
  </si>
  <si>
    <t>קה"ש</t>
  </si>
  <si>
    <t>ב"ל</t>
  </si>
  <si>
    <t>אובדן כושר</t>
  </si>
  <si>
    <t>מלא</t>
  </si>
  <si>
    <t>חלקי</t>
  </si>
  <si>
    <t>חובה</t>
  </si>
  <si>
    <t>Retention</t>
  </si>
  <si>
    <t>QA Manager</t>
  </si>
  <si>
    <t>אחר</t>
  </si>
  <si>
    <t>Legal</t>
  </si>
  <si>
    <t>Controller</t>
  </si>
  <si>
    <t>HR</t>
  </si>
  <si>
    <t>עלות מעביד</t>
  </si>
  <si>
    <t>USD RATE</t>
  </si>
  <si>
    <t>G&amp;A</t>
  </si>
  <si>
    <t>Software Developers</t>
  </si>
  <si>
    <t>Team Leaders</t>
  </si>
  <si>
    <t>Integration Managers</t>
  </si>
  <si>
    <t>VP Sales</t>
  </si>
  <si>
    <t>VP Business Development</t>
  </si>
  <si>
    <t>Sales &amp; Marketing Managers</t>
  </si>
  <si>
    <t>Account and Product Managers</t>
  </si>
  <si>
    <t>CTO</t>
  </si>
  <si>
    <t>בונוס</t>
  </si>
  <si>
    <t>Small Clients (&lt;0.5 yard)</t>
  </si>
  <si>
    <t>Senior Team Leaders</t>
  </si>
  <si>
    <t>New</t>
  </si>
  <si>
    <t>abandon</t>
  </si>
  <si>
    <t>total</t>
  </si>
  <si>
    <t>Open Balance</t>
  </si>
  <si>
    <t>Strategic Clients (&gt;3 yards)</t>
  </si>
  <si>
    <t>Small Clients (&lt;0.3 yard)</t>
  </si>
  <si>
    <t>Medium Clients(&gt;0.3, &lt;1)</t>
  </si>
  <si>
    <t>Total Revenue</t>
  </si>
  <si>
    <t>Q1/12</t>
  </si>
  <si>
    <t>Q2/12</t>
  </si>
  <si>
    <t>Q3/12</t>
  </si>
  <si>
    <t>Q4/12</t>
  </si>
  <si>
    <t>AVG</t>
  </si>
  <si>
    <t>Vol Q1</t>
  </si>
  <si>
    <t>Vol Q2</t>
  </si>
  <si>
    <t>Vol Q4</t>
  </si>
  <si>
    <t>Vol Q3</t>
  </si>
  <si>
    <t>Virt Vol</t>
  </si>
  <si>
    <t>ACT Vol</t>
  </si>
  <si>
    <t xml:space="preserve">Total </t>
  </si>
  <si>
    <t>Total Marketing Budget</t>
  </si>
  <si>
    <t>Other Total</t>
  </si>
  <si>
    <t>Genie Soluions - updates to website/languages</t>
  </si>
  <si>
    <t>Genie Solutions website hosting</t>
  </si>
  <si>
    <t>Booth Total</t>
  </si>
  <si>
    <t>roll up design</t>
  </si>
  <si>
    <t>roll up printing</t>
  </si>
  <si>
    <t>pop up/booth printing</t>
  </si>
  <si>
    <t>pop up/booth design</t>
  </si>
  <si>
    <t>Booth</t>
  </si>
  <si>
    <t>Digital Marketing Materials Total</t>
  </si>
  <si>
    <t>Translations</t>
  </si>
  <si>
    <t>Develoment/technical coding</t>
  </si>
  <si>
    <t>Landing Pages</t>
  </si>
  <si>
    <t>Banners</t>
  </si>
  <si>
    <t>Digital Marketing Materials</t>
  </si>
  <si>
    <t>Marketing Communications Total</t>
  </si>
  <si>
    <t>Print Ad Design</t>
  </si>
  <si>
    <t>PR Releases</t>
  </si>
  <si>
    <t>Marketing Videos</t>
  </si>
  <si>
    <t>Offline advertising</t>
  </si>
  <si>
    <t>Affiliate advertising</t>
  </si>
  <si>
    <t>PPC Campaigns</t>
  </si>
  <si>
    <t>Marketing Communications</t>
  </si>
  <si>
    <t>Newsletter mailing system</t>
  </si>
  <si>
    <t>Brochures printing</t>
  </si>
  <si>
    <t>Brochures design</t>
  </si>
  <si>
    <t>Marketing Materials</t>
  </si>
  <si>
    <t>Taxis</t>
  </si>
  <si>
    <t>Misc. (Dinner, taking out clients, etc)</t>
  </si>
  <si>
    <t>Exhibitions Total</t>
  </si>
  <si>
    <t>Eshel (4 people)</t>
  </si>
  <si>
    <t>Hotel (2 double rooms)</t>
  </si>
  <si>
    <t>Flights (4 people)</t>
  </si>
  <si>
    <t>Exhibitions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</si>
  <si>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</si>
  <si>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</si>
  <si>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</si>
  <si>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</si>
  <si>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</si>
  <si>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</si>
  <si>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</si>
  <si>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</si>
  <si>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</si>
  <si>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</si>
  <si>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</si>
  <si>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</si>
  <si>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&lt;enter date of last update here&gt;</t>
  </si>
  <si>
    <t>Last updated:</t>
  </si>
  <si>
    <t>LeverateLink Marketing Budget Plan</t>
  </si>
  <si>
    <t>London LAC</t>
  </si>
  <si>
    <t>iGaming SuperShow Dublin</t>
  </si>
  <si>
    <t>BAC Barcelona</t>
  </si>
  <si>
    <t>Giveaways at exhibitions</t>
  </si>
  <si>
    <t>Market Research Total</t>
  </si>
  <si>
    <t>SEO campaigns</t>
  </si>
  <si>
    <t>SMO camaigns (social media)</t>
  </si>
  <si>
    <t>Extra</t>
  </si>
  <si>
    <t>Entertainment - potential clients</t>
  </si>
  <si>
    <t>Website</t>
  </si>
  <si>
    <t>Communication</t>
  </si>
  <si>
    <t>Insurance</t>
  </si>
  <si>
    <t>Traveling</t>
  </si>
  <si>
    <t>Salaries</t>
  </si>
  <si>
    <t>In USD</t>
  </si>
  <si>
    <t>Banks</t>
  </si>
  <si>
    <t>Total Banks</t>
  </si>
  <si>
    <t>Receipts:</t>
  </si>
  <si>
    <t>Receipts from Sales</t>
  </si>
  <si>
    <t>Closing Balance</t>
  </si>
  <si>
    <t>EXPENSES</t>
  </si>
  <si>
    <t>Capital</t>
  </si>
  <si>
    <t>Assets</t>
  </si>
  <si>
    <t>Finance</t>
  </si>
  <si>
    <t>Total Payments</t>
  </si>
  <si>
    <t xml:space="preserve"> </t>
  </si>
  <si>
    <t>COGS IL</t>
  </si>
  <si>
    <t>Sales &amp; Marketing IL</t>
  </si>
  <si>
    <t>LP accounts Financing</t>
  </si>
  <si>
    <t>Opening Balances-Hapoalim</t>
  </si>
  <si>
    <t>Withdrawal of Profit from  Costumer Fund</t>
  </si>
  <si>
    <t>Other Future Sales (sales forecast)</t>
  </si>
  <si>
    <t>Subsidiary Payments</t>
  </si>
  <si>
    <t>2012 Detailed Sales</t>
  </si>
  <si>
    <t>Provisions to IL Taxes</t>
  </si>
  <si>
    <t>2012 Taxes IL</t>
  </si>
  <si>
    <t>New Saxo</t>
  </si>
  <si>
    <t>Strategic Client</t>
  </si>
  <si>
    <t>*3</t>
  </si>
  <si>
    <t>Small</t>
  </si>
  <si>
    <t>Large</t>
  </si>
  <si>
    <t>EURUSD</t>
  </si>
  <si>
    <t>Bad Debt</t>
  </si>
  <si>
    <t xml:space="preserve">CYPRUS </t>
  </si>
  <si>
    <t>Expense</t>
  </si>
  <si>
    <t>Quantity</t>
  </si>
  <si>
    <t>Price $</t>
  </si>
  <si>
    <t>Price Euro</t>
  </si>
  <si>
    <t>Comments</t>
  </si>
  <si>
    <t>Rent</t>
  </si>
  <si>
    <t>Total of 4th floor</t>
  </si>
  <si>
    <t>Electricity</t>
  </si>
  <si>
    <t>Building Common Exps</t>
  </si>
  <si>
    <t>Cleaning Exps</t>
  </si>
  <si>
    <t>Communication + Internet</t>
  </si>
  <si>
    <t>Office Stationary + Supplies</t>
  </si>
  <si>
    <t>Professional Services</t>
  </si>
  <si>
    <t>Directors Remuneration</t>
  </si>
  <si>
    <t>Total Overhead in USD</t>
  </si>
  <si>
    <t>Parking</t>
  </si>
  <si>
    <t>Property tax</t>
  </si>
  <si>
    <t>Telephone</t>
  </si>
  <si>
    <t>Other communication</t>
  </si>
  <si>
    <t>Cleaning</t>
  </si>
  <si>
    <t>HR &amp; Wealth</t>
  </si>
  <si>
    <t>Depreciation CY</t>
  </si>
  <si>
    <t>Refreshments and Hospitality</t>
  </si>
  <si>
    <t>Office expenses</t>
  </si>
  <si>
    <t>Gifts for employees</t>
  </si>
  <si>
    <t>Company events</t>
  </si>
  <si>
    <t>employees recruitment</t>
  </si>
  <si>
    <t>Mail</t>
  </si>
  <si>
    <t>AM</t>
  </si>
  <si>
    <t xml:space="preserve">Sales &amp; Marketing </t>
  </si>
  <si>
    <t>FS</t>
  </si>
  <si>
    <t>Int</t>
  </si>
  <si>
    <t>Overhead Budget 2015</t>
  </si>
  <si>
    <t>Audit</t>
  </si>
  <si>
    <t>Internal Audit</t>
  </si>
  <si>
    <t>Direct</t>
  </si>
  <si>
    <t>Non Direct</t>
  </si>
  <si>
    <t>Gaming</t>
  </si>
  <si>
    <t>Ecommerce</t>
  </si>
  <si>
    <t>Mediom</t>
  </si>
  <si>
    <t>XL</t>
  </si>
  <si>
    <t>Opening Balance</t>
  </si>
  <si>
    <t>Forex/Binary Count</t>
  </si>
  <si>
    <t>Forex/Binary Vol</t>
  </si>
  <si>
    <t>Direct (Count)</t>
  </si>
  <si>
    <t>Non Direct (Count)</t>
  </si>
  <si>
    <t>AVG Vol (K$)</t>
  </si>
  <si>
    <t>Direct Vol in K$</t>
  </si>
  <si>
    <t>Total Vol</t>
  </si>
  <si>
    <t>Total  Vol</t>
  </si>
  <si>
    <t>Ecommerce Count</t>
  </si>
  <si>
    <t>Ecommerce Vol</t>
  </si>
  <si>
    <t>Gaming Count</t>
  </si>
  <si>
    <t>Gaming Vol</t>
  </si>
  <si>
    <t>Total Count</t>
  </si>
  <si>
    <t>Total Merchants</t>
  </si>
  <si>
    <t>forex/Binary</t>
  </si>
  <si>
    <t>Vol increase %</t>
  </si>
  <si>
    <t>Direct sale to vol %</t>
  </si>
  <si>
    <t>Non Direct sale to vol %</t>
  </si>
  <si>
    <t>Total Rev</t>
  </si>
  <si>
    <t>Rev per Month</t>
  </si>
  <si>
    <t>Monthly fee</t>
  </si>
  <si>
    <t>Setup fee</t>
  </si>
  <si>
    <t>transfer Fee</t>
  </si>
  <si>
    <t>Probebility</t>
  </si>
  <si>
    <t xml:space="preserve">AVG Monthly Fee </t>
  </si>
  <si>
    <t xml:space="preserve">AVG Setup Fee </t>
  </si>
  <si>
    <t>Algocharge 2015 Sales - Q2</t>
  </si>
  <si>
    <t>Algocharge 2015 Sales - Q3</t>
  </si>
  <si>
    <t>Algocharge 2015 Sales - Q4</t>
  </si>
  <si>
    <t>Total Cost</t>
  </si>
  <si>
    <t>cost per Month</t>
  </si>
  <si>
    <t>Non Direct cost to Sale %</t>
  </si>
  <si>
    <t>Direct cost to Sale %</t>
  </si>
  <si>
    <t>Website Maint.</t>
  </si>
  <si>
    <t>HR to Sale</t>
  </si>
  <si>
    <t>complience</t>
  </si>
  <si>
    <t>FM</t>
  </si>
  <si>
    <t>RISK</t>
  </si>
  <si>
    <t>Clients</t>
  </si>
  <si>
    <t>Office Licenses</t>
  </si>
  <si>
    <t>Diff</t>
  </si>
  <si>
    <t xml:space="preserve">Openning </t>
  </si>
  <si>
    <t>Openning</t>
  </si>
  <si>
    <t>CEO</t>
  </si>
  <si>
    <t>Consultant</t>
  </si>
  <si>
    <t>Software team</t>
  </si>
  <si>
    <t>SQA</t>
  </si>
  <si>
    <t>Regulation</t>
  </si>
  <si>
    <t>Department</t>
  </si>
  <si>
    <t>Payroll %</t>
  </si>
  <si>
    <t>Education Fund</t>
  </si>
  <si>
    <t>Gross Salary</t>
  </si>
  <si>
    <t>PHI</t>
  </si>
  <si>
    <t>Social Security</t>
  </si>
  <si>
    <t>Salary Sub Total</t>
  </si>
  <si>
    <t>Car</t>
  </si>
  <si>
    <t>Recuperation</t>
  </si>
  <si>
    <t>Total Cost USD</t>
  </si>
  <si>
    <t>Month</t>
  </si>
  <si>
    <t>ILS</t>
  </si>
  <si>
    <t>Position</t>
  </si>
  <si>
    <t>Payroll IL-Year 2</t>
  </si>
  <si>
    <t>Payroll CY-Year 2</t>
  </si>
  <si>
    <t>GM</t>
  </si>
  <si>
    <t>Eur</t>
  </si>
  <si>
    <t>Pension-Employee</t>
  </si>
  <si>
    <t>Pension - Employer</t>
  </si>
  <si>
    <t>Subtotal</t>
  </si>
  <si>
    <t>Vacation</t>
  </si>
  <si>
    <t>ILS/Month</t>
  </si>
  <si>
    <t>EUR/Month</t>
  </si>
  <si>
    <t>Sales&amp; Marketing</t>
  </si>
  <si>
    <t>Sales</t>
  </si>
  <si>
    <t>Car/Other</t>
  </si>
  <si>
    <t>Office</t>
  </si>
  <si>
    <t>Management fee</t>
  </si>
  <si>
    <t>Cellular</t>
  </si>
  <si>
    <t>IT Maintenance</t>
  </si>
  <si>
    <t>IP Phone</t>
  </si>
  <si>
    <t>Internet</t>
  </si>
  <si>
    <t>AML Officer</t>
  </si>
  <si>
    <t>backoffice</t>
  </si>
  <si>
    <t>EasyLC 2012 Forecast Cash flow</t>
  </si>
  <si>
    <t>EasyLC 2015 Sales - Q1</t>
  </si>
  <si>
    <t>EasyLC</t>
  </si>
  <si>
    <t>1st Year Sales Summary</t>
  </si>
  <si>
    <t>Rent &amp; Maint.</t>
  </si>
  <si>
    <t>Professional services</t>
  </si>
  <si>
    <t>Payroll</t>
  </si>
  <si>
    <t>Deprt.</t>
  </si>
  <si>
    <t>Other Expenses</t>
  </si>
  <si>
    <t>SEO (Search Engine Optimization)</t>
  </si>
  <si>
    <t>Online</t>
  </si>
  <si>
    <t>Offline</t>
  </si>
  <si>
    <t>Marketing materials</t>
  </si>
  <si>
    <t>Director Insurance</t>
  </si>
  <si>
    <t>Online Sales and Marketing Manager</t>
  </si>
  <si>
    <t>Medium</t>
  </si>
  <si>
    <t>Sales Fee</t>
  </si>
  <si>
    <t>Marketing</t>
  </si>
  <si>
    <t>Operation</t>
  </si>
  <si>
    <t>Affiliates\Distribution</t>
  </si>
  <si>
    <t>COO-Founder</t>
  </si>
  <si>
    <t>Engineer</t>
  </si>
  <si>
    <t>Year 1</t>
  </si>
  <si>
    <t>Year 2</t>
  </si>
  <si>
    <t>Q5</t>
  </si>
  <si>
    <t>Q6</t>
  </si>
  <si>
    <t>Q7</t>
  </si>
  <si>
    <t>Q8</t>
  </si>
  <si>
    <t>MRR</t>
  </si>
  <si>
    <t>Chief Scientist</t>
  </si>
  <si>
    <t>Net Expenses</t>
  </si>
  <si>
    <t>Importer Risk Exposure P&amp;L</t>
  </si>
  <si>
    <t>Importer P&amp;L (Exporter default)</t>
  </si>
  <si>
    <t>Default Risk</t>
  </si>
  <si>
    <t>Exporter default risk -Collection</t>
  </si>
  <si>
    <t>Total Default Risk</t>
  </si>
  <si>
    <t>No of transaction (per Q)</t>
  </si>
  <si>
    <t>Importer Insurance compensation</t>
  </si>
  <si>
    <t>Benchmark Importer Insolvency</t>
  </si>
  <si>
    <t>Tiidan Importer Insolvency</t>
  </si>
  <si>
    <t xml:space="preserve">Annual Average Transactions </t>
  </si>
  <si>
    <t>Max of concurrent trans. Per Exporter</t>
  </si>
  <si>
    <t>exporter Insolvency per transaction</t>
  </si>
  <si>
    <t>Insurance fee</t>
  </si>
  <si>
    <t>Avarage down payment</t>
  </si>
  <si>
    <t>Insurance fee in K USD</t>
  </si>
  <si>
    <t>Vol % that is insured by EH</t>
  </si>
  <si>
    <t>Average Transaction Vol (K USD)</t>
  </si>
  <si>
    <t>Total Transaction VOL (K USD)</t>
  </si>
  <si>
    <t>Insurance net</t>
  </si>
  <si>
    <t>Information Fee</t>
  </si>
  <si>
    <t>Insured amount K USD</t>
  </si>
  <si>
    <t>Exporter default risk in K USD</t>
  </si>
  <si>
    <t>Backoffice</t>
  </si>
  <si>
    <t>Analyst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</si>
  <si>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</si>
  <si>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</si>
  <si>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</si>
  <si>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</si>
  <si>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</si>
  <si>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</si>
  <si>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</si>
  <si>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</si>
  <si>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</si>
  <si>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</si>
  <si>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</si>
  <si>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</si>
  <si>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Bank opening balance</t>
  </si>
  <si>
    <t>Operating Expenses</t>
  </si>
  <si>
    <t>Rent &amp; maint</t>
  </si>
  <si>
    <t>IT &amp; SW</t>
  </si>
  <si>
    <t>Rent Guaranty</t>
  </si>
  <si>
    <t>Fixed assets</t>
  </si>
  <si>
    <t>Capex</t>
  </si>
  <si>
    <t>Net Monthly Cash Flow</t>
  </si>
  <si>
    <t>Bank Closing balance</t>
  </si>
  <si>
    <t>13th month</t>
  </si>
  <si>
    <t>14th month</t>
  </si>
  <si>
    <t>15th month</t>
  </si>
  <si>
    <t>16th month</t>
  </si>
  <si>
    <t>17th month</t>
  </si>
  <si>
    <t>18th month</t>
  </si>
  <si>
    <t xml:space="preserve">Year 1-Sales Plan  ILS </t>
  </si>
  <si>
    <t>Existing Clients</t>
  </si>
  <si>
    <t>New Clients</t>
  </si>
  <si>
    <t>Customer churn</t>
  </si>
  <si>
    <t>Total Clients</t>
  </si>
  <si>
    <t>Fee ILS</t>
  </si>
  <si>
    <t>Rev Stream1</t>
  </si>
  <si>
    <t>Rev Stream2</t>
  </si>
  <si>
    <t>Rev Stream6</t>
  </si>
  <si>
    <t>CAC</t>
  </si>
  <si>
    <t xml:space="preserve"> BP  Parameters</t>
  </si>
  <si>
    <t>Startup Name</t>
  </si>
  <si>
    <t>Annual Subsctiption</t>
  </si>
  <si>
    <t>Monthly Subsctiption</t>
  </si>
  <si>
    <t>Fee USD</t>
  </si>
  <si>
    <t>Year 1 - Q4</t>
  </si>
  <si>
    <t>Year 1 - Q3</t>
  </si>
  <si>
    <t>Year 1 - Q2</t>
  </si>
  <si>
    <t>Year 1 - Q1</t>
  </si>
  <si>
    <t>Year 2 - Q1</t>
  </si>
  <si>
    <t>Year 2 - Q2</t>
  </si>
  <si>
    <t>Starting monh</t>
  </si>
  <si>
    <t>Small Clients</t>
  </si>
  <si>
    <t>avarage subscription</t>
  </si>
  <si>
    <t>Large Clients</t>
  </si>
  <si>
    <t>יש לעבוד על הגיליונות בסדר הבא:</t>
  </si>
  <si>
    <t>SALES</t>
  </si>
  <si>
    <t>PAYROLL</t>
  </si>
  <si>
    <t>AccountX</t>
  </si>
  <si>
    <t>Overhead Budget</t>
  </si>
  <si>
    <t>Item</t>
  </si>
  <si>
    <t>הוצ' 2004 בפועל</t>
  </si>
  <si>
    <t>Shred office</t>
  </si>
  <si>
    <t>Amazon</t>
  </si>
  <si>
    <t>SAP</t>
  </si>
  <si>
    <t>Priority</t>
  </si>
  <si>
    <t>Michpal</t>
  </si>
  <si>
    <t>Printing Services</t>
  </si>
  <si>
    <t xml:space="preserve"> Tax Consultancy</t>
  </si>
  <si>
    <t>Fees</t>
  </si>
  <si>
    <t>Training</t>
  </si>
  <si>
    <t>Tami4</t>
  </si>
  <si>
    <t>Coffee Tea, refreshments</t>
  </si>
  <si>
    <t>Stationery</t>
  </si>
  <si>
    <t>Maintenance and Repairs</t>
  </si>
  <si>
    <t>Depreciation priority</t>
  </si>
  <si>
    <t>18M Overhead</t>
  </si>
  <si>
    <t>US</t>
  </si>
  <si>
    <t>EU</t>
  </si>
  <si>
    <t>Bookkeeping &amp; CFO Services</t>
  </si>
  <si>
    <t xml:space="preserve"> Financial Plan highlights</t>
  </si>
  <si>
    <t>OverHead</t>
  </si>
  <si>
    <t>18M</t>
  </si>
  <si>
    <t>Annual Subscription</t>
  </si>
  <si>
    <t>Profit &amp; Loss 18 month (USD)</t>
  </si>
  <si>
    <t>PPC</t>
  </si>
  <si>
    <t>Sales &amp; Marketing - 18 month (USD)</t>
  </si>
  <si>
    <t>Number of Leads</t>
  </si>
  <si>
    <t>Fund/SAFE</t>
  </si>
  <si>
    <t>יש לעדכן את התאים ללא נוסחאות (בצבע אדום)</t>
  </si>
  <si>
    <t xml:space="preserve">Fund rising of </t>
  </si>
  <si>
    <t>18 month Cash Flow (USD)</t>
  </si>
  <si>
    <t>S&amp;M Expenses</t>
  </si>
  <si>
    <t>18 Months Sales (USD)</t>
  </si>
  <si>
    <t>18 Month - Payroll</t>
  </si>
  <si>
    <t>Revenues (USD)</t>
  </si>
  <si>
    <t>Cash in Bank (USD)</t>
  </si>
  <si>
    <t>ARR</t>
  </si>
  <si>
    <t>Cash Flow</t>
  </si>
  <si>
    <t>יש לעדכן שע"ח בגיליון פרמטר</t>
  </si>
  <si>
    <t>בהצלחה</t>
  </si>
  <si>
    <t>מומלץ לציין בגיליון HIGHLIGHTS ראשי פרקים של התקציב</t>
  </si>
  <si>
    <t>גיליון CASH FLOW מחושב אוטמטית יש להזין את יתרת פתיחה של הבנק, והגיוס (שורה 6)</t>
  </si>
  <si>
    <t>מומלץ לייצר גיליון המקשר בין גיליון Sales &amp; Marketing לגיליון הכנסות, כגון ע"י תקציב PPC  ובניית FUNNEL שיווקי</t>
  </si>
  <si>
    <t>הוראות לעבודה עם  הקובץ</t>
  </si>
  <si>
    <t>ARR at the end of 18 month</t>
  </si>
  <si>
    <r>
      <t xml:space="preserve">אין להעביר את הקובץ ללא אישור של </t>
    </r>
    <r>
      <rPr>
        <b/>
        <sz val="10"/>
        <rFont val="Arial"/>
        <family val="2"/>
      </rPr>
      <t>זוהר בר חן AccountX  052-3982649</t>
    </r>
  </si>
  <si>
    <t>MRR…...</t>
  </si>
  <si>
    <t>CAC…...</t>
  </si>
  <si>
    <t>LTV…...</t>
  </si>
  <si>
    <t>ABC Startup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</si>
</sst>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 &quot;₪&quot;\ * #,##0.00_ ;_ &quot;₪&quot;\ * \-#,##0.00_ ;_ &quot;₪&quot;\ * &quot;-&quot;??_ ;_ @_ "/>
    <numFmt numFmtId="164" formatCode="_(* #,##0.00_);_(* \(#,##0.00\);_(* &quot;-&quot;??_);_(@_)"/>
    <numFmt numFmtId="165" formatCode="&quot;$&quot;#,##0_);\(&quot;$&quot;#,##0\)"/>
    <numFmt numFmtId="166" formatCode="_ * #,##0_ ;_ * \-#,##0_ ;_ * &quot;-&quot;??_ ;_ @_ "/>
    <numFmt numFmtId="167" formatCode="_ * #,##0.0_ ;_ * \-#,##0.0_ ;_ * &quot;-&quot;??_ ;_ @_ "/>
    <numFmt numFmtId="168" formatCode="0.0%"/>
    <numFmt numFmtId="169" formatCode="&quot;$&quot;#,##0"/>
    <numFmt numFmtId="170" formatCode="mm/yy"/>
    <numFmt numFmtId="171" formatCode="_ * #,##0.000_ ;_ * \-#,##0.000_ ;_ * &quot;-&quot;??_ ;_ @_ "/>
    <numFmt numFmtId="172" formatCode="[$-409]mmmm\-yy;@"/>
    <numFmt numFmtId="173" formatCode="_ * #,##0.0_ ;_ * \-#,##0.0_ ;_ * &quot;-&quot;?_ ;_ @_ "/>
    <numFmt numFmtId="174" formatCode="_-* #,##0_-;\-* #,##0_-;_-* &quot;-&quot;??_-;_-@_-"/>
    <numFmt numFmtId="175" formatCode="_-* #,##0.00_-;\-* #,##0.00_-;_-* &quot;-&quot;??_-;_-@_-"/>
    <numFmt numFmtId="176" formatCode="_-[$€-2]\ * #,##0_-;\-[$€-2]\ * #,##0_-;_-[$€-2]\ * &quot;-&quot;??_-;_-@_-"/>
    <numFmt numFmtId="177" formatCode="_-[$$-409]* #,##0_ ;_-[$$-409]* \-#,##0\ ;_-[$$-409]* &quot;-&quot;??_ ;_-@_ "/>
    <numFmt numFmtId="178" formatCode="_-* #,##0.0_-;\-* #,##0.0_-;_-* &quot;-&quot;??_-;_-@_-"/>
    <numFmt numFmtId="179" formatCode="_(* #,##0_);_(* \(#,##0\);_(* &quot;-&quot;??_);_(@_)"/>
  </numFmts>
  <fonts count="108">
    <font>
      <sz val="10"/>
      <name val="Arial"/>
      <family val="2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color indexed="6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indexed="62"/>
      <name val="Arial"/>
      <family val="2"/>
    </font>
    <font>
      <sz val="10"/>
      <color indexed="60"/>
      <name val="Arial"/>
      <family val="2"/>
    </font>
    <font>
      <i/>
      <sz val="10"/>
      <color indexed="57"/>
      <name val="Arial"/>
      <family val="2"/>
    </font>
    <font>
      <b/>
      <u/>
      <sz val="10"/>
      <color indexed="48"/>
      <name val="Arial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i/>
      <u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9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name val="Calibri"/>
      <family val="2"/>
    </font>
    <font>
      <u/>
      <sz val="11"/>
      <color rgb="FF305774"/>
      <name val="Calibri"/>
      <family val="2"/>
      <charset val="177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u/>
      <sz val="10"/>
      <name val="Arial"/>
      <family val="2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name val="Calibri"/>
      <family val="2"/>
      <charset val="177"/>
      <scheme val="minor"/>
    </font>
    <font>
      <b/>
      <u/>
      <sz val="10"/>
      <color rgb="FFFF0000"/>
      <name val="Arial"/>
      <family val="2"/>
    </font>
    <font>
      <i/>
      <u/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u/>
      <sz val="14"/>
      <name val="Arial"/>
      <family val="2"/>
    </font>
    <font>
      <b/>
      <i/>
      <u/>
      <sz val="10"/>
      <name val="Arial"/>
      <family val="2"/>
    </font>
    <font>
      <b/>
      <u/>
      <sz val="12"/>
      <color rgb="FFC00000"/>
      <name val="Arial"/>
      <family val="2"/>
    </font>
    <font>
      <b/>
      <u/>
      <sz val="10"/>
      <color rgb="FFC00000"/>
      <name val="Arial"/>
      <family val="2"/>
    </font>
    <font>
      <u/>
      <sz val="10"/>
      <color rgb="FFFF0000"/>
      <name val="Arial"/>
      <family val="2"/>
    </font>
    <font>
      <i/>
      <sz val="11"/>
      <name val="Calibri"/>
      <family val="2"/>
      <scheme val="minor"/>
    </font>
    <font>
      <b/>
      <u/>
      <sz val="14"/>
      <color rgb="FFFF0000"/>
      <name val="Arial"/>
      <family val="2"/>
    </font>
    <font>
      <sz val="12"/>
      <name val="Arial"/>
      <family val="2"/>
    </font>
    <font>
      <i/>
      <sz val="9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77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charset val="177"/>
      <scheme val="minor"/>
    </font>
    <font>
      <b/>
      <i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5" tint="-0.249977111117893"/>
      <name val="Calibri"/>
      <family val="2"/>
      <charset val="177"/>
      <scheme val="minor"/>
    </font>
    <font>
      <sz val="10"/>
      <color rgb="FF000000"/>
      <name val="Arial"/>
    </font>
    <font>
      <b/>
      <u/>
      <sz val="11"/>
      <color rgb="FFFF0000"/>
      <name val="Arial"/>
      <family val="2"/>
    </font>
    <font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i/>
      <u/>
      <sz val="12"/>
      <color rgb="FFC00000"/>
      <name val="Arial"/>
      <family val="2"/>
    </font>
    <font>
      <b/>
      <i/>
      <u/>
      <sz val="14"/>
      <color rgb="FFC0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color rgb="FF0000FF"/>
      <name val="Arial"/>
      <family val="2"/>
    </font>
    <font>
      <b/>
      <u/>
      <sz val="16"/>
      <color rgb="FFC00000"/>
      <name val="Arial"/>
      <family val="2"/>
    </font>
    <font>
      <b/>
      <sz val="10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theme="7" tint="0.79998168889431442"/>
        <bgColor rgb="FFFFCC99"/>
      </patternFill>
    </fill>
    <fill>
      <patternFill patternType="solid">
        <fgColor theme="8" tint="0.79998168889431442"/>
        <bgColor rgb="FFFFCC99"/>
      </patternFill>
    </fill>
    <fill>
      <patternFill patternType="solid">
        <fgColor rgb="FFD8D8D8"/>
        <bgColor rgb="FFD8D8D8"/>
      </patternFill>
    </fill>
    <fill>
      <patternFill patternType="solid">
        <fgColor rgb="FFFFCC99"/>
        <bgColor rgb="FFFFCC99"/>
      </patternFill>
    </fill>
  </fills>
  <borders count="1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53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4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4"/>
      </left>
      <right style="medium">
        <color indexed="2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thin">
        <color indexed="22"/>
      </top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4"/>
      </left>
      <right style="medium">
        <color indexed="24"/>
      </right>
      <top style="thin">
        <color indexed="22"/>
      </top>
      <bottom style="thin">
        <color indexed="22"/>
      </bottom>
      <diagonal/>
    </border>
    <border>
      <left style="medium">
        <color indexed="24"/>
      </left>
      <right style="medium">
        <color indexed="24"/>
      </right>
      <top/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24"/>
      </left>
      <right style="medium">
        <color indexed="24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 style="medium">
        <color indexed="22"/>
      </left>
      <right/>
      <top style="thick">
        <color indexed="53"/>
      </top>
      <bottom/>
      <diagonal/>
    </border>
    <border>
      <left/>
      <right style="medium">
        <color indexed="23"/>
      </right>
      <top style="medium">
        <color indexed="23"/>
      </top>
      <bottom style="thick">
        <color indexed="53"/>
      </bottom>
      <diagonal/>
    </border>
    <border>
      <left/>
      <right/>
      <top style="medium">
        <color indexed="23"/>
      </top>
      <bottom style="thick">
        <color indexed="53"/>
      </bottom>
      <diagonal/>
    </border>
    <border>
      <left style="medium">
        <color indexed="23"/>
      </left>
      <right/>
      <top style="medium">
        <color indexed="23"/>
      </top>
      <bottom style="thick">
        <color indexed="5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54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8" applyNumberFormat="0" applyFill="0" applyAlignment="0" applyProtection="0"/>
    <xf numFmtId="0" fontId="40" fillId="0" borderId="79" applyNumberFormat="0" applyFill="0" applyAlignment="0" applyProtection="0"/>
    <xf numFmtId="0" fontId="41" fillId="0" borderId="80" applyNumberFormat="0" applyFill="0" applyAlignment="0" applyProtection="0"/>
    <xf numFmtId="0" fontId="41" fillId="0" borderId="0" applyNumberFormat="0" applyFill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2" borderId="0" applyNumberFormat="0" applyBorder="0" applyAlignment="0" applyProtection="0"/>
    <xf numFmtId="0" fontId="45" fillId="23" borderId="81" applyNumberFormat="0" applyAlignment="0" applyProtection="0"/>
    <xf numFmtId="0" fontId="46" fillId="24" borderId="82" applyNumberFormat="0" applyAlignment="0" applyProtection="0"/>
    <xf numFmtId="0" fontId="47" fillId="24" borderId="81" applyNumberFormat="0" applyAlignment="0" applyProtection="0"/>
    <xf numFmtId="0" fontId="48" fillId="0" borderId="83" applyNumberFormat="0" applyFill="0" applyAlignment="0" applyProtection="0"/>
    <xf numFmtId="0" fontId="49" fillId="25" borderId="84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86" applyNumberFormat="0" applyFill="0" applyAlignment="0" applyProtection="0"/>
    <xf numFmtId="0" fontId="53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53" fillId="50" borderId="0" applyNumberFormat="0" applyBorder="0" applyAlignment="0" applyProtection="0"/>
    <xf numFmtId="0" fontId="12" fillId="0" borderId="0"/>
    <xf numFmtId="0" fontId="12" fillId="26" borderId="85" applyNumberFormat="0" applyFon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/>
    <xf numFmtId="9" fontId="5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3" fillId="0" borderId="0"/>
    <xf numFmtId="164" fontId="13" fillId="0" borderId="0" applyFont="0" applyFill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26" borderId="85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6" borderId="85" applyNumberFormat="0" applyFont="0" applyAlignment="0" applyProtection="0"/>
    <xf numFmtId="0" fontId="7" fillId="26" borderId="8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26" borderId="85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5" fillId="0" borderId="0"/>
    <xf numFmtId="0" fontId="5" fillId="26" borderId="85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85" applyNumberFormat="0" applyFont="0" applyAlignment="0" applyProtection="0"/>
    <xf numFmtId="0" fontId="2" fillId="26" borderId="85" applyNumberFormat="0" applyFont="0" applyAlignment="0" applyProtection="0"/>
    <xf numFmtId="0" fontId="2" fillId="26" borderId="85" applyNumberFormat="0" applyFont="0" applyAlignment="0" applyProtection="0"/>
    <xf numFmtId="0" fontId="2" fillId="26" borderId="85" applyNumberFormat="0" applyFont="0" applyAlignment="0" applyProtection="0"/>
    <xf numFmtId="0" fontId="2" fillId="26" borderId="85" applyNumberFormat="0" applyFont="0" applyAlignment="0" applyProtection="0"/>
    <xf numFmtId="0" fontId="2" fillId="26" borderId="85" applyNumberFormat="0" applyFont="0" applyAlignment="0" applyProtection="0"/>
    <xf numFmtId="164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3" fillId="0" borderId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0" fontId="56" fillId="0" borderId="0"/>
    <xf numFmtId="175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6" fillId="0" borderId="0"/>
  </cellStyleXfs>
  <cellXfs count="911">
    <xf numFmtId="0" fontId="0" fillId="0" borderId="0" xfId="0"/>
    <xf numFmtId="0" fontId="20" fillId="0" borderId="0" xfId="0" applyFont="1" applyBorder="1" applyAlignment="1" applyProtection="1">
      <alignment horizontal="center" readingOrder="1"/>
      <protection locked="0"/>
    </xf>
    <xf numFmtId="0" fontId="23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0" fillId="0" borderId="0" xfId="0" applyAlignment="1" applyProtection="1">
      <alignment readingOrder="1"/>
      <protection locked="0"/>
    </xf>
    <xf numFmtId="0" fontId="15" fillId="0" borderId="0" xfId="0" applyFont="1" applyAlignment="1" applyProtection="1">
      <alignment horizontal="center" readingOrder="1"/>
      <protection locked="0"/>
    </xf>
    <xf numFmtId="0" fontId="15" fillId="0" borderId="0" xfId="0" applyFont="1" applyAlignment="1" applyProtection="1">
      <alignment readingOrder="1"/>
      <protection locked="0"/>
    </xf>
    <xf numFmtId="0" fontId="15" fillId="0" borderId="0" xfId="0" applyFont="1" applyAlignment="1">
      <alignment readingOrder="1"/>
    </xf>
    <xf numFmtId="0" fontId="17" fillId="0" borderId="0" xfId="0" applyFont="1" applyAlignment="1" applyProtection="1">
      <alignment horizontal="left" readingOrder="1"/>
      <protection locked="0"/>
    </xf>
    <xf numFmtId="0" fontId="17" fillId="0" borderId="0" xfId="0" applyFont="1" applyAlignment="1" applyProtection="1">
      <alignment horizontal="center" readingOrder="1"/>
      <protection locked="0"/>
    </xf>
    <xf numFmtId="166" fontId="13" fillId="0" borderId="0" xfId="1" applyNumberFormat="1" applyAlignment="1" applyProtection="1">
      <alignment readingOrder="1"/>
      <protection locked="0"/>
    </xf>
    <xf numFmtId="0" fontId="27" fillId="0" borderId="0" xfId="0" applyFont="1" applyAlignment="1" applyProtection="1">
      <alignment horizontal="center" readingOrder="1"/>
      <protection locked="0"/>
    </xf>
    <xf numFmtId="166" fontId="18" fillId="0" borderId="3" xfId="1" applyNumberFormat="1" applyFont="1" applyBorder="1" applyAlignment="1" applyProtection="1">
      <alignment readingOrder="1"/>
      <protection locked="0"/>
    </xf>
    <xf numFmtId="166" fontId="18" fillId="0" borderId="0" xfId="1" applyNumberFormat="1" applyFont="1" applyBorder="1" applyAlignment="1" applyProtection="1">
      <alignment readingOrder="1"/>
      <protection locked="0"/>
    </xf>
    <xf numFmtId="0" fontId="0" fillId="0" borderId="0" xfId="0" applyAlignment="1" applyProtection="1">
      <alignment horizontal="left" readingOrder="1"/>
      <protection locked="0"/>
    </xf>
    <xf numFmtId="9" fontId="15" fillId="0" borderId="0" xfId="2" applyFont="1" applyAlignment="1" applyProtection="1">
      <alignment horizontal="center" readingOrder="1"/>
      <protection locked="0"/>
    </xf>
    <xf numFmtId="166" fontId="18" fillId="0" borderId="4" xfId="1" applyNumberFormat="1" applyFont="1" applyBorder="1" applyAlignment="1" applyProtection="1">
      <alignment readingOrder="1"/>
      <protection locked="0"/>
    </xf>
    <xf numFmtId="0" fontId="19" fillId="0" borderId="0" xfId="0" applyFont="1" applyAlignment="1" applyProtection="1">
      <alignment readingOrder="1"/>
      <protection locked="0"/>
    </xf>
    <xf numFmtId="0" fontId="19" fillId="0" borderId="0" xfId="0" applyFont="1" applyBorder="1" applyAlignment="1" applyProtection="1">
      <alignment readingOrder="1"/>
      <protection locked="0"/>
    </xf>
    <xf numFmtId="164" fontId="22" fillId="0" borderId="0" xfId="1" applyFont="1" applyBorder="1" applyAlignment="1" applyProtection="1">
      <alignment horizontal="center" readingOrder="1"/>
      <protection locked="0"/>
    </xf>
    <xf numFmtId="0" fontId="0" fillId="0" borderId="0" xfId="0" applyBorder="1" applyAlignment="1" applyProtection="1">
      <alignment readingOrder="1"/>
      <protection locked="0"/>
    </xf>
    <xf numFmtId="0" fontId="21" fillId="0" borderId="0" xfId="0" applyFont="1" applyAlignment="1" applyProtection="1">
      <alignment horizontal="center" readingOrder="1"/>
      <protection locked="0"/>
    </xf>
    <xf numFmtId="9" fontId="15" fillId="0" borderId="0" xfId="2" applyFont="1" applyBorder="1" applyAlignment="1" applyProtection="1">
      <alignment horizontal="center" readingOrder="1"/>
      <protection locked="0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164" fontId="0" fillId="0" borderId="0" xfId="1" applyFont="1"/>
    <xf numFmtId="9" fontId="0" fillId="0" borderId="0" xfId="2" applyFont="1"/>
    <xf numFmtId="0" fontId="0" fillId="0" borderId="24" xfId="0" applyBorder="1"/>
    <xf numFmtId="0" fontId="0" fillId="0" borderId="26" xfId="0" applyBorder="1"/>
    <xf numFmtId="166" fontId="0" fillId="0" borderId="26" xfId="1" applyNumberFormat="1" applyFont="1" applyBorder="1"/>
    <xf numFmtId="0" fontId="0" fillId="0" borderId="22" xfId="0" applyBorder="1"/>
    <xf numFmtId="166" fontId="0" fillId="0" borderId="23" xfId="1" applyNumberFormat="1" applyFont="1" applyBorder="1"/>
    <xf numFmtId="166" fontId="0" fillId="8" borderId="24" xfId="1" applyNumberFormat="1" applyFont="1" applyFill="1" applyBorder="1"/>
    <xf numFmtId="166" fontId="0" fillId="8" borderId="26" xfId="1" applyNumberFormat="1" applyFont="1" applyFill="1" applyBorder="1"/>
    <xf numFmtId="166" fontId="0" fillId="0" borderId="24" xfId="1" applyNumberFormat="1" applyFont="1" applyBorder="1"/>
    <xf numFmtId="0" fontId="0" fillId="0" borderId="23" xfId="0" applyBorder="1"/>
    <xf numFmtId="0" fontId="0" fillId="0" borderId="27" xfId="0" applyBorder="1" applyAlignment="1">
      <alignment horizontal="center"/>
    </xf>
    <xf numFmtId="166" fontId="0" fillId="7" borderId="26" xfId="0" applyNumberFormat="1" applyFill="1" applyBorder="1"/>
    <xf numFmtId="0" fontId="18" fillId="8" borderId="0" xfId="0" applyFont="1" applyFill="1"/>
    <xf numFmtId="0" fontId="0" fillId="8" borderId="0" xfId="0" applyFont="1" applyFill="1"/>
    <xf numFmtId="166" fontId="18" fillId="8" borderId="0" xfId="0" applyNumberFormat="1" applyFont="1" applyFill="1"/>
    <xf numFmtId="0" fontId="0" fillId="0" borderId="0" xfId="0" applyFont="1"/>
    <xf numFmtId="0" fontId="0" fillId="3" borderId="25" xfId="0" applyFill="1" applyBorder="1" applyAlignment="1">
      <alignment horizontal="center"/>
    </xf>
    <xf numFmtId="166" fontId="0" fillId="8" borderId="27" xfId="0" applyNumberFormat="1" applyFill="1" applyBorder="1"/>
    <xf numFmtId="166" fontId="0" fillId="0" borderId="22" xfId="1" applyNumberFormat="1" applyFont="1" applyBorder="1"/>
    <xf numFmtId="9" fontId="0" fillId="0" borderId="6" xfId="2" applyFont="1" applyBorder="1"/>
    <xf numFmtId="0" fontId="0" fillId="0" borderId="16" xfId="0" applyBorder="1" applyAlignment="1">
      <alignment horizontal="center" wrapText="1"/>
    </xf>
    <xf numFmtId="0" fontId="0" fillId="9" borderId="16" xfId="0" applyFont="1" applyFill="1" applyBorder="1" applyAlignment="1">
      <alignment horizontal="center" wrapText="1"/>
    </xf>
    <xf numFmtId="0" fontId="0" fillId="9" borderId="16" xfId="0" applyFill="1" applyBorder="1" applyAlignment="1">
      <alignment horizontal="center" wrapText="1"/>
    </xf>
    <xf numFmtId="168" fontId="0" fillId="0" borderId="0" xfId="2" applyNumberFormat="1" applyFont="1"/>
    <xf numFmtId="0" fontId="0" fillId="9" borderId="32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166" fontId="0" fillId="0" borderId="35" xfId="1" applyNumberFormat="1" applyFont="1" applyBorder="1"/>
    <xf numFmtId="168" fontId="0" fillId="0" borderId="0" xfId="2" applyNumberFormat="1" applyFont="1" applyBorder="1"/>
    <xf numFmtId="166" fontId="0" fillId="0" borderId="35" xfId="0" applyNumberFormat="1" applyBorder="1"/>
    <xf numFmtId="0" fontId="0" fillId="0" borderId="37" xfId="0" applyBorder="1"/>
    <xf numFmtId="0" fontId="0" fillId="0" borderId="38" xfId="0" applyBorder="1"/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9" borderId="32" xfId="0" applyFill="1" applyBorder="1" applyAlignment="1">
      <alignment horizontal="center" wrapText="1"/>
    </xf>
    <xf numFmtId="0" fontId="0" fillId="9" borderId="33" xfId="0" applyFill="1" applyBorder="1" applyAlignment="1">
      <alignment horizontal="center" wrapText="1"/>
    </xf>
    <xf numFmtId="0" fontId="0" fillId="0" borderId="39" xfId="0" applyBorder="1"/>
    <xf numFmtId="167" fontId="0" fillId="0" borderId="0" xfId="1" applyNumberFormat="1" applyFont="1" applyBorder="1"/>
    <xf numFmtId="166" fontId="0" fillId="0" borderId="40" xfId="1" applyNumberFormat="1" applyFont="1" applyBorder="1"/>
    <xf numFmtId="166" fontId="0" fillId="0" borderId="6" xfId="0" applyNumberFormat="1" applyBorder="1"/>
    <xf numFmtId="168" fontId="0" fillId="0" borderId="0" xfId="0" applyNumberFormat="1" applyBorder="1"/>
    <xf numFmtId="166" fontId="0" fillId="0" borderId="41" xfId="0" applyNumberFormat="1" applyBorder="1"/>
    <xf numFmtId="166" fontId="0" fillId="0" borderId="0" xfId="0" applyNumberFormat="1" applyBorder="1"/>
    <xf numFmtId="0" fontId="0" fillId="10" borderId="32" xfId="0" applyFill="1" applyBorder="1" applyAlignment="1">
      <alignment horizontal="center" wrapText="1"/>
    </xf>
    <xf numFmtId="0" fontId="0" fillId="10" borderId="16" xfId="0" applyFill="1" applyBorder="1" applyAlignment="1">
      <alignment horizontal="center" wrapText="1"/>
    </xf>
    <xf numFmtId="0" fontId="0" fillId="10" borderId="33" xfId="0" applyFill="1" applyBorder="1" applyAlignment="1">
      <alignment horizontal="center" wrapText="1"/>
    </xf>
    <xf numFmtId="167" fontId="0" fillId="0" borderId="34" xfId="1" applyNumberFormat="1" applyFont="1" applyBorder="1"/>
    <xf numFmtId="167" fontId="0" fillId="0" borderId="39" xfId="1" applyNumberFormat="1" applyFont="1" applyBorder="1"/>
    <xf numFmtId="167" fontId="0" fillId="0" borderId="36" xfId="0" applyNumberFormat="1" applyBorder="1"/>
    <xf numFmtId="166" fontId="0" fillId="0" borderId="38" xfId="0" applyNumberFormat="1" applyBorder="1"/>
    <xf numFmtId="168" fontId="0" fillId="0" borderId="17" xfId="2" applyNumberFormat="1" applyFont="1" applyBorder="1"/>
    <xf numFmtId="0" fontId="0" fillId="0" borderId="19" xfId="0" applyBorder="1"/>
    <xf numFmtId="168" fontId="0" fillId="0" borderId="34" xfId="2" applyNumberFormat="1" applyFont="1" applyBorder="1"/>
    <xf numFmtId="168" fontId="0" fillId="0" borderId="36" xfId="2" applyNumberFormat="1" applyFont="1" applyBorder="1"/>
    <xf numFmtId="0" fontId="0" fillId="11" borderId="0" xfId="0" applyFill="1" applyBorder="1"/>
    <xf numFmtId="0" fontId="0" fillId="11" borderId="35" xfId="0" applyFill="1" applyBorder="1"/>
    <xf numFmtId="9" fontId="0" fillId="0" borderId="0" xfId="0" applyNumberFormat="1"/>
    <xf numFmtId="0" fontId="16" fillId="0" borderId="0" xfId="0" applyFont="1" applyFill="1"/>
    <xf numFmtId="0" fontId="0" fillId="0" borderId="34" xfId="0" applyFill="1" applyBorder="1"/>
    <xf numFmtId="0" fontId="0" fillId="0" borderId="0" xfId="0" applyFill="1" applyBorder="1"/>
    <xf numFmtId="167" fontId="0" fillId="0" borderId="0" xfId="1" applyNumberFormat="1" applyFont="1" applyFill="1" applyBorder="1"/>
    <xf numFmtId="0" fontId="0" fillId="0" borderId="39" xfId="0" applyFill="1" applyBorder="1"/>
    <xf numFmtId="0" fontId="0" fillId="0" borderId="0" xfId="0" applyAlignment="1" applyProtection="1">
      <alignment readingOrder="1"/>
      <protection locked="0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66" fontId="0" fillId="0" borderId="36" xfId="0" applyNumberFormat="1" applyBorder="1"/>
    <xf numFmtId="166" fontId="0" fillId="0" borderId="37" xfId="0" applyNumberFormat="1" applyBorder="1"/>
    <xf numFmtId="0" fontId="0" fillId="0" borderId="46" xfId="0" applyBorder="1" applyAlignment="1">
      <alignment horizontal="center"/>
    </xf>
    <xf numFmtId="0" fontId="0" fillId="5" borderId="0" xfId="0" applyFill="1"/>
    <xf numFmtId="166" fontId="0" fillId="5" borderId="27" xfId="0" applyNumberFormat="1" applyFill="1" applyBorder="1"/>
    <xf numFmtId="1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" fontId="0" fillId="0" borderId="0" xfId="0" applyNumberFormat="1"/>
    <xf numFmtId="166" fontId="0" fillId="0" borderId="0" xfId="1" applyNumberFormat="1" applyFont="1" applyBorder="1"/>
    <xf numFmtId="166" fontId="0" fillId="5" borderId="47" xfId="0" applyNumberFormat="1" applyFill="1" applyBorder="1"/>
    <xf numFmtId="166" fontId="0" fillId="8" borderId="22" xfId="1" applyNumberFormat="1" applyFont="1" applyFill="1" applyBorder="1"/>
    <xf numFmtId="166" fontId="0" fillId="8" borderId="23" xfId="1" applyNumberFormat="1" applyFont="1" applyFill="1" applyBorder="1"/>
    <xf numFmtId="166" fontId="0" fillId="8" borderId="48" xfId="0" applyNumberFormat="1" applyFill="1" applyBorder="1"/>
    <xf numFmtId="166" fontId="0" fillId="8" borderId="20" xfId="1" applyNumberFormat="1" applyFont="1" applyFill="1" applyBorder="1"/>
    <xf numFmtId="166" fontId="0" fillId="8" borderId="21" xfId="1" applyNumberFormat="1" applyFont="1" applyFill="1" applyBorder="1"/>
    <xf numFmtId="0" fontId="18" fillId="14" borderId="27" xfId="0" applyFont="1" applyFill="1" applyBorder="1" applyAlignment="1">
      <alignment horizontal="center" wrapText="1"/>
    </xf>
    <xf numFmtId="0" fontId="18" fillId="14" borderId="49" xfId="0" applyFont="1" applyFill="1" applyBorder="1" applyAlignment="1">
      <alignment horizontal="center" wrapText="1"/>
    </xf>
    <xf numFmtId="166" fontId="18" fillId="14" borderId="49" xfId="1" applyNumberFormat="1" applyFont="1" applyFill="1" applyBorder="1" applyAlignment="1">
      <alignment horizontal="center" wrapText="1"/>
    </xf>
    <xf numFmtId="3" fontId="0" fillId="15" borderId="30" xfId="0" applyNumberFormat="1" applyFill="1" applyBorder="1"/>
    <xf numFmtId="3" fontId="0" fillId="15" borderId="2" xfId="0" applyNumberFormat="1" applyFill="1" applyBorder="1"/>
    <xf numFmtId="166" fontId="18" fillId="0" borderId="0" xfId="1" applyNumberFormat="1" applyFont="1"/>
    <xf numFmtId="3" fontId="0" fillId="15" borderId="28" xfId="0" applyNumberFormat="1" applyFill="1" applyBorder="1"/>
    <xf numFmtId="3" fontId="0" fillId="13" borderId="0" xfId="0" applyNumberFormat="1" applyFill="1"/>
    <xf numFmtId="3" fontId="18" fillId="13" borderId="0" xfId="0" applyNumberFormat="1" applyFont="1" applyFill="1"/>
    <xf numFmtId="0" fontId="33" fillId="0" borderId="0" xfId="0" applyFont="1"/>
    <xf numFmtId="0" fontId="0" fillId="0" borderId="2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13" borderId="0" xfId="0" applyFont="1" applyFill="1" applyAlignment="1">
      <alignment horizontal="center"/>
    </xf>
    <xf numFmtId="166" fontId="13" fillId="16" borderId="30" xfId="1" applyNumberFormat="1" applyFill="1" applyBorder="1"/>
    <xf numFmtId="166" fontId="13" fillId="16" borderId="2" xfId="1" applyNumberFormat="1" applyFill="1" applyBorder="1"/>
    <xf numFmtId="166" fontId="0" fillId="16" borderId="2" xfId="1" applyNumberFormat="1" applyFont="1" applyFill="1" applyBorder="1"/>
    <xf numFmtId="3" fontId="0" fillId="0" borderId="0" xfId="0" applyNumberFormat="1" applyFont="1"/>
    <xf numFmtId="166" fontId="32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25" xfId="1" applyNumberFormat="1" applyFont="1" applyFill="1" applyBorder="1" applyAlignment="1">
      <alignment horizontal="center"/>
    </xf>
    <xf numFmtId="166" fontId="0" fillId="0" borderId="0" xfId="1" applyNumberFormat="1" applyFont="1" applyFill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66" fontId="18" fillId="13" borderId="0" xfId="1" applyNumberFormat="1" applyFont="1" applyFill="1" applyAlignment="1">
      <alignment horizontal="center"/>
    </xf>
    <xf numFmtId="1" fontId="0" fillId="0" borderId="0" xfId="0" applyNumberFormat="1"/>
    <xf numFmtId="3" fontId="0" fillId="0" borderId="0" xfId="0" applyNumberForma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6" fillId="6" borderId="1" xfId="0" applyFont="1" applyFill="1" applyBorder="1" applyAlignment="1" applyProtection="1">
      <alignment horizontal="center" readingOrder="1"/>
      <protection locked="0"/>
    </xf>
    <xf numFmtId="0" fontId="16" fillId="6" borderId="2" xfId="0" applyFont="1" applyFill="1" applyBorder="1" applyAlignment="1" applyProtection="1">
      <alignment horizontal="center" readingOrder="1"/>
      <protection locked="0"/>
    </xf>
    <xf numFmtId="0" fontId="13" fillId="0" borderId="0" xfId="0" applyFont="1" applyFill="1" applyBorder="1"/>
    <xf numFmtId="169" fontId="13" fillId="0" borderId="0" xfId="0" applyNumberFormat="1" applyFont="1" applyFill="1" applyBorder="1"/>
    <xf numFmtId="0" fontId="34" fillId="0" borderId="0" xfId="0" applyFont="1" applyFill="1" applyBorder="1"/>
    <xf numFmtId="169" fontId="34" fillId="0" borderId="0" xfId="0" applyNumberFormat="1" applyFont="1" applyFill="1" applyBorder="1"/>
    <xf numFmtId="169" fontId="35" fillId="0" borderId="0" xfId="0" applyNumberFormat="1" applyFont="1" applyFill="1" applyBorder="1"/>
    <xf numFmtId="165" fontId="35" fillId="17" borderId="56" xfId="0" applyNumberFormat="1" applyFont="1" applyFill="1" applyBorder="1"/>
    <xf numFmtId="169" fontId="35" fillId="12" borderId="0" xfId="0" applyNumberFormat="1" applyFont="1" applyFill="1" applyBorder="1"/>
    <xf numFmtId="0" fontId="35" fillId="12" borderId="0" xfId="0" applyFont="1" applyFill="1" applyBorder="1" applyAlignment="1">
      <alignment horizontal="right" vertical="top" wrapText="1"/>
    </xf>
    <xf numFmtId="0" fontId="13" fillId="0" borderId="57" xfId="0" applyFont="1" applyFill="1" applyBorder="1"/>
    <xf numFmtId="0" fontId="18" fillId="0" borderId="0" xfId="0" applyFont="1" applyFill="1" applyBorder="1"/>
    <xf numFmtId="169" fontId="18" fillId="0" borderId="0" xfId="0" applyNumberFormat="1" applyFont="1" applyFill="1" applyBorder="1"/>
    <xf numFmtId="165" fontId="35" fillId="12" borderId="58" xfId="0" applyNumberFormat="1" applyFont="1" applyFill="1" applyBorder="1"/>
    <xf numFmtId="0" fontId="18" fillId="0" borderId="57" xfId="0" applyFont="1" applyFill="1" applyBorder="1"/>
    <xf numFmtId="37" fontId="36" fillId="0" borderId="60" xfId="0" applyNumberFormat="1" applyFont="1" applyFill="1" applyBorder="1"/>
    <xf numFmtId="0" fontId="36" fillId="18" borderId="61" xfId="0" applyFont="1" applyFill="1" applyBorder="1" applyAlignment="1">
      <alignment vertical="top" wrapText="1"/>
    </xf>
    <xf numFmtId="0" fontId="36" fillId="0" borderId="61" xfId="0" applyFont="1" applyFill="1" applyBorder="1" applyAlignment="1">
      <alignment vertical="top" wrapText="1"/>
    </xf>
    <xf numFmtId="169" fontId="36" fillId="0" borderId="62" xfId="0" applyNumberFormat="1" applyFont="1" applyFill="1" applyBorder="1"/>
    <xf numFmtId="169" fontId="36" fillId="0" borderId="61" xfId="0" applyNumberFormat="1" applyFont="1" applyFill="1" applyBorder="1"/>
    <xf numFmtId="0" fontId="35" fillId="0" borderId="61" xfId="0" applyFont="1" applyFill="1" applyBorder="1" applyAlignment="1">
      <alignment vertical="top" wrapText="1"/>
    </xf>
    <xf numFmtId="169" fontId="36" fillId="0" borderId="57" xfId="0" applyNumberFormat="1" applyFont="1" applyFill="1" applyBorder="1"/>
    <xf numFmtId="169" fontId="36" fillId="0" borderId="0" xfId="0" applyNumberFormat="1" applyFont="1" applyFill="1" applyBorder="1"/>
    <xf numFmtId="0" fontId="36" fillId="0" borderId="0" xfId="0" applyFont="1" applyFill="1" applyBorder="1" applyAlignment="1">
      <alignment vertical="top" wrapText="1"/>
    </xf>
    <xf numFmtId="165" fontId="35" fillId="12" borderId="63" xfId="0" applyNumberFormat="1" applyFont="1" applyFill="1" applyBorder="1"/>
    <xf numFmtId="37" fontId="36" fillId="0" borderId="65" xfId="0" applyNumberFormat="1" applyFont="1" applyFill="1" applyBorder="1"/>
    <xf numFmtId="37" fontId="36" fillId="0" borderId="66" xfId="0" applyNumberFormat="1" applyFont="1" applyFill="1" applyBorder="1"/>
    <xf numFmtId="0" fontId="36" fillId="0" borderId="61" xfId="0" applyFont="1" applyFill="1" applyBorder="1"/>
    <xf numFmtId="37" fontId="36" fillId="0" borderId="62" xfId="0" applyNumberFormat="1" applyFont="1" applyFill="1" applyBorder="1"/>
    <xf numFmtId="169" fontId="35" fillId="0" borderId="57" xfId="0" applyNumberFormat="1" applyFont="1" applyFill="1" applyBorder="1"/>
    <xf numFmtId="0" fontId="35" fillId="0" borderId="0" xfId="0" applyFont="1" applyFill="1" applyBorder="1" applyAlignment="1">
      <alignment horizontal="right" vertical="top" wrapText="1"/>
    </xf>
    <xf numFmtId="0" fontId="36" fillId="18" borderId="61" xfId="0" applyFont="1" applyFill="1" applyBorder="1"/>
    <xf numFmtId="37" fontId="36" fillId="0" borderId="57" xfId="0" applyNumberFormat="1" applyFont="1" applyFill="1" applyBorder="1"/>
    <xf numFmtId="0" fontId="36" fillId="0" borderId="0" xfId="0" applyFont="1" applyFill="1" applyBorder="1"/>
    <xf numFmtId="37" fontId="36" fillId="0" borderId="61" xfId="0" applyNumberFormat="1" applyFont="1" applyFill="1" applyBorder="1"/>
    <xf numFmtId="0" fontId="36" fillId="0" borderId="68" xfId="0" applyFont="1" applyFill="1" applyBorder="1" applyAlignment="1">
      <alignment vertical="top" wrapText="1"/>
    </xf>
    <xf numFmtId="37" fontId="36" fillId="0" borderId="70" xfId="0" applyNumberFormat="1" applyFont="1" applyFill="1" applyBorder="1"/>
    <xf numFmtId="0" fontId="36" fillId="0" borderId="69" xfId="0" applyFont="1" applyFill="1" applyBorder="1" applyAlignment="1">
      <alignment vertical="top" wrapText="1"/>
    </xf>
    <xf numFmtId="0" fontId="35" fillId="12" borderId="57" xfId="0" applyFont="1" applyFill="1" applyBorder="1" applyAlignment="1">
      <alignment horizontal="center"/>
    </xf>
    <xf numFmtId="0" fontId="34" fillId="17" borderId="0" xfId="0" applyFont="1" applyFill="1" applyBorder="1" applyAlignment="1">
      <alignment horizontal="center"/>
    </xf>
    <xf numFmtId="0" fontId="34" fillId="17" borderId="71" xfId="0" applyFont="1" applyFill="1" applyBorder="1"/>
    <xf numFmtId="0" fontId="36" fillId="0" borderId="57" xfId="0" applyFont="1" applyFill="1" applyBorder="1"/>
    <xf numFmtId="0" fontId="36" fillId="0" borderId="71" xfId="0" applyFont="1" applyFill="1" applyBorder="1"/>
    <xf numFmtId="0" fontId="36" fillId="0" borderId="72" xfId="0" applyFont="1" applyFill="1" applyBorder="1"/>
    <xf numFmtId="0" fontId="36" fillId="0" borderId="73" xfId="0" applyFont="1" applyFill="1" applyBorder="1"/>
    <xf numFmtId="0" fontId="36" fillId="0" borderId="74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justify" indent="2"/>
    </xf>
    <xf numFmtId="0" fontId="36" fillId="18" borderId="0" xfId="0" applyFont="1" applyFill="1" applyBorder="1" applyAlignment="1">
      <alignment vertical="top" wrapText="1"/>
    </xf>
    <xf numFmtId="37" fontId="13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169" fontId="16" fillId="0" borderId="0" xfId="0" applyNumberFormat="1" applyFont="1" applyFill="1" applyBorder="1" applyAlignment="1">
      <alignment horizontal="center"/>
    </xf>
    <xf numFmtId="166" fontId="13" fillId="0" borderId="0" xfId="1" applyNumberFormat="1" applyFont="1" applyFill="1" applyBorder="1"/>
    <xf numFmtId="0" fontId="13" fillId="3" borderId="0" xfId="0" applyFont="1" applyFill="1" applyBorder="1"/>
    <xf numFmtId="166" fontId="13" fillId="3" borderId="0" xfId="1" applyNumberFormat="1" applyFont="1" applyFill="1" applyBorder="1"/>
    <xf numFmtId="3" fontId="0" fillId="0" borderId="0" xfId="0" applyNumberFormat="1"/>
    <xf numFmtId="0" fontId="0" fillId="0" borderId="6" xfId="0" applyBorder="1"/>
    <xf numFmtId="167" fontId="0" fillId="0" borderId="0" xfId="0" applyNumberFormat="1"/>
    <xf numFmtId="167" fontId="0" fillId="0" borderId="0" xfId="1" applyNumberFormat="1" applyFont="1"/>
    <xf numFmtId="167" fontId="13" fillId="0" borderId="0" xfId="1" applyNumberFormat="1" applyFont="1" applyFill="1" applyBorder="1"/>
    <xf numFmtId="0" fontId="0" fillId="0" borderId="0" xfId="0" applyAlignment="1">
      <alignment readingOrder="2"/>
    </xf>
    <xf numFmtId="165" fontId="36" fillId="6" borderId="59" xfId="0" applyNumberFormat="1" applyFont="1" applyFill="1" applyBorder="1"/>
    <xf numFmtId="0" fontId="35" fillId="6" borderId="64" xfId="0" applyFont="1" applyFill="1" applyBorder="1" applyAlignment="1">
      <alignment horizontal="right" vertical="top" wrapText="1"/>
    </xf>
    <xf numFmtId="169" fontId="35" fillId="6" borderId="64" xfId="0" applyNumberFormat="1" applyFont="1" applyFill="1" applyBorder="1"/>
    <xf numFmtId="169" fontId="35" fillId="6" borderId="67" xfId="0" applyNumberFormat="1" applyFont="1" applyFill="1" applyBorder="1"/>
    <xf numFmtId="0" fontId="35" fillId="6" borderId="0" xfId="0" applyFont="1" applyFill="1" applyBorder="1" applyAlignment="1">
      <alignment horizontal="right" vertical="top" wrapText="1"/>
    </xf>
    <xf numFmtId="169" fontId="35" fillId="6" borderId="0" xfId="0" applyNumberFormat="1" applyFont="1" applyFill="1" applyBorder="1"/>
    <xf numFmtId="37" fontId="36" fillId="6" borderId="59" xfId="0" applyNumberFormat="1" applyFont="1" applyFill="1" applyBorder="1"/>
    <xf numFmtId="0" fontId="62" fillId="0" borderId="0" xfId="0" applyFont="1" applyAlignment="1">
      <alignment horizontal="center"/>
    </xf>
    <xf numFmtId="170" fontId="63" fillId="0" borderId="0" xfId="0" applyNumberFormat="1" applyFont="1" applyAlignment="1">
      <alignment horizontal="center"/>
    </xf>
    <xf numFmtId="0" fontId="58" fillId="9" borderId="16" xfId="0" applyFont="1" applyFill="1" applyBorder="1" applyAlignment="1">
      <alignment horizontal="center"/>
    </xf>
    <xf numFmtId="166" fontId="64" fillId="0" borderId="0" xfId="1" applyNumberFormat="1" applyFont="1"/>
    <xf numFmtId="167" fontId="0" fillId="0" borderId="6" xfId="1" applyNumberFormat="1" applyFont="1" applyBorder="1"/>
    <xf numFmtId="0" fontId="58" fillId="0" borderId="0" xfId="0" applyFont="1"/>
    <xf numFmtId="167" fontId="58" fillId="6" borderId="0" xfId="1" applyNumberFormat="1" applyFont="1" applyFill="1"/>
    <xf numFmtId="0" fontId="65" fillId="0" borderId="0" xfId="0" applyFont="1"/>
    <xf numFmtId="9" fontId="66" fillId="0" borderId="0" xfId="2" applyFont="1"/>
    <xf numFmtId="167" fontId="58" fillId="52" borderId="0" xfId="1" applyNumberFormat="1" applyFont="1" applyFill="1"/>
    <xf numFmtId="167" fontId="58" fillId="0" borderId="0" xfId="1" applyNumberFormat="1" applyFont="1"/>
    <xf numFmtId="0" fontId="67" fillId="0" borderId="0" xfId="0" applyFont="1" applyAlignment="1">
      <alignment horizontal="center"/>
    </xf>
    <xf numFmtId="167" fontId="0" fillId="3" borderId="0" xfId="1" applyNumberFormat="1" applyFont="1" applyFill="1"/>
    <xf numFmtId="0" fontId="54" fillId="0" borderId="0" xfId="0" applyFont="1"/>
    <xf numFmtId="167" fontId="58" fillId="3" borderId="0" xfId="1" applyNumberFormat="1" applyFont="1" applyFill="1"/>
    <xf numFmtId="166" fontId="68" fillId="6" borderId="5" xfId="1" applyNumberFormat="1" applyFont="1" applyFill="1" applyBorder="1"/>
    <xf numFmtId="166" fontId="0" fillId="0" borderId="0" xfId="1" applyNumberFormat="1" applyFont="1" applyFill="1" applyBorder="1"/>
    <xf numFmtId="166" fontId="64" fillId="0" borderId="0" xfId="1" applyNumberFormat="1" applyFont="1" applyAlignment="1">
      <alignment horizontal="center"/>
    </xf>
    <xf numFmtId="166" fontId="0" fillId="0" borderId="6" xfId="1" applyNumberFormat="1" applyFont="1" applyBorder="1"/>
    <xf numFmtId="0" fontId="0" fillId="0" borderId="16" xfId="0" applyBorder="1"/>
    <xf numFmtId="166" fontId="0" fillId="0" borderId="16" xfId="0" applyNumberFormat="1" applyBorder="1"/>
    <xf numFmtId="164" fontId="0" fillId="0" borderId="24" xfId="1" applyFont="1" applyBorder="1"/>
    <xf numFmtId="164" fontId="0" fillId="0" borderId="22" xfId="1" applyFont="1" applyBorder="1"/>
    <xf numFmtId="9" fontId="0" fillId="0" borderId="26" xfId="2" applyFont="1" applyBorder="1"/>
    <xf numFmtId="0" fontId="0" fillId="6" borderId="87" xfId="0" applyFill="1" applyBorder="1" applyAlignment="1">
      <alignment horizontal="center" wrapText="1"/>
    </xf>
    <xf numFmtId="0" fontId="0" fillId="5" borderId="87" xfId="0" applyFill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8" borderId="42" xfId="1" applyFont="1" applyFill="1" applyBorder="1"/>
    <xf numFmtId="0" fontId="0" fillId="8" borderId="55" xfId="0" applyFill="1" applyBorder="1"/>
    <xf numFmtId="9" fontId="0" fillId="8" borderId="43" xfId="2" applyFont="1" applyFill="1" applyBorder="1"/>
    <xf numFmtId="164" fontId="0" fillId="8" borderId="24" xfId="1" applyFont="1" applyFill="1" applyBorder="1"/>
    <xf numFmtId="0" fontId="0" fillId="8" borderId="0" xfId="0" applyFill="1" applyBorder="1"/>
    <xf numFmtId="0" fontId="0" fillId="8" borderId="26" xfId="0" applyFill="1" applyBorder="1"/>
    <xf numFmtId="0" fontId="0" fillId="8" borderId="43" xfId="0" applyFill="1" applyBorder="1"/>
    <xf numFmtId="0" fontId="0" fillId="8" borderId="20" xfId="0" applyFont="1" applyFill="1" applyBorder="1"/>
    <xf numFmtId="0" fontId="0" fillId="8" borderId="44" xfId="0" applyFont="1" applyFill="1" applyBorder="1"/>
    <xf numFmtId="0" fontId="0" fillId="8" borderId="21" xfId="0" applyFont="1" applyFill="1" applyBorder="1"/>
    <xf numFmtId="166" fontId="0" fillId="0" borderId="0" xfId="1" applyNumberFormat="1" applyFont="1" applyFill="1"/>
    <xf numFmtId="0" fontId="7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3" borderId="0" xfId="0" applyFill="1" applyBorder="1" applyAlignment="1">
      <alignment horizontal="center"/>
    </xf>
    <xf numFmtId="166" fontId="0" fillId="8" borderId="0" xfId="0" applyNumberFormat="1" applyFill="1" applyBorder="1"/>
    <xf numFmtId="166" fontId="0" fillId="7" borderId="0" xfId="0" applyNumberFormat="1" applyFill="1" applyBorder="1"/>
    <xf numFmtId="9" fontId="0" fillId="8" borderId="0" xfId="2" applyFont="1" applyFill="1" applyBorder="1"/>
    <xf numFmtId="0" fontId="0" fillId="0" borderId="17" xfId="0" applyBorder="1"/>
    <xf numFmtId="0" fontId="0" fillId="0" borderId="18" xfId="0" applyBorder="1"/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9" fontId="0" fillId="0" borderId="37" xfId="2" applyFont="1" applyBorder="1"/>
    <xf numFmtId="9" fontId="0" fillId="0" borderId="38" xfId="2" applyFont="1" applyBorder="1"/>
    <xf numFmtId="166" fontId="0" fillId="0" borderId="89" xfId="1" applyNumberFormat="1" applyFont="1" applyBorder="1"/>
    <xf numFmtId="0" fontId="0" fillId="0" borderId="47" xfId="0" applyBorder="1"/>
    <xf numFmtId="166" fontId="0" fillId="0" borderId="88" xfId="1" applyNumberFormat="1" applyFont="1" applyBorder="1"/>
    <xf numFmtId="164" fontId="0" fillId="0" borderId="89" xfId="0" applyNumberFormat="1" applyBorder="1"/>
    <xf numFmtId="0" fontId="0" fillId="0" borderId="15" xfId="0" applyBorder="1" applyAlignment="1">
      <alignment horizontal="center"/>
    </xf>
    <xf numFmtId="0" fontId="0" fillId="0" borderId="88" xfId="0" applyBorder="1"/>
    <xf numFmtId="0" fontId="11" fillId="0" borderId="0" xfId="51"/>
    <xf numFmtId="0" fontId="58" fillId="0" borderId="0" xfId="51" applyFont="1"/>
    <xf numFmtId="0" fontId="11" fillId="0" borderId="16" xfId="51" applyBorder="1"/>
    <xf numFmtId="0" fontId="11" fillId="0" borderId="0" xfId="51" applyFill="1"/>
    <xf numFmtId="166" fontId="58" fillId="0" borderId="0" xfId="1" applyNumberFormat="1" applyFont="1"/>
    <xf numFmtId="166" fontId="11" fillId="0" borderId="0" xfId="1" applyNumberFormat="1" applyFont="1"/>
    <xf numFmtId="166" fontId="18" fillId="0" borderId="0" xfId="1" applyNumberFormat="1" applyFont="1" applyFill="1" applyBorder="1"/>
    <xf numFmtId="166" fontId="19" fillId="0" borderId="4" xfId="1" applyNumberFormat="1" applyFont="1" applyBorder="1" applyAlignment="1" applyProtection="1">
      <alignment readingOrder="1"/>
      <protection locked="0"/>
    </xf>
    <xf numFmtId="0" fontId="18" fillId="0" borderId="51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1" xfId="0" applyFont="1" applyBorder="1" applyAlignment="1">
      <alignment horizontal="center" wrapText="1"/>
    </xf>
    <xf numFmtId="167" fontId="57" fillId="52" borderId="0" xfId="1" applyNumberFormat="1" applyFont="1" applyFill="1"/>
    <xf numFmtId="0" fontId="16" fillId="0" borderId="0" xfId="0" applyFont="1" applyAlignment="1">
      <alignment horizontal="center"/>
    </xf>
    <xf numFmtId="164" fontId="0" fillId="0" borderId="0" xfId="1" applyFont="1" applyBorder="1"/>
    <xf numFmtId="164" fontId="0" fillId="0" borderId="0" xfId="1" applyNumberFormat="1" applyFont="1" applyBorder="1"/>
    <xf numFmtId="166" fontId="0" fillId="0" borderId="91" xfId="1" applyNumberFormat="1" applyFont="1" applyBorder="1" applyAlignment="1">
      <alignment horizontal="center"/>
    </xf>
    <xf numFmtId="3" fontId="0" fillId="15" borderId="90" xfId="0" applyNumberFormat="1" applyFill="1" applyBorder="1"/>
    <xf numFmtId="166" fontId="13" fillId="16" borderId="90" xfId="1" applyNumberFormat="1" applyFill="1" applyBorder="1"/>
    <xf numFmtId="9" fontId="0" fillId="0" borderId="46" xfId="2" applyFont="1" applyBorder="1" applyAlignment="1">
      <alignment horizontal="center"/>
    </xf>
    <xf numFmtId="0" fontId="18" fillId="0" borderId="0" xfId="0" applyFont="1" applyBorder="1"/>
    <xf numFmtId="171" fontId="56" fillId="0" borderId="0" xfId="1" applyNumberFormat="1" applyFont="1" applyAlignment="1">
      <alignment readingOrder="1"/>
    </xf>
    <xf numFmtId="171" fontId="0" fillId="0" borderId="0" xfId="1" applyNumberFormat="1" applyFont="1"/>
    <xf numFmtId="171" fontId="0" fillId="8" borderId="0" xfId="1" applyNumberFormat="1" applyFont="1" applyFill="1"/>
    <xf numFmtId="9" fontId="0" fillId="0" borderId="25" xfId="2" applyFont="1" applyFill="1" applyBorder="1" applyAlignment="1">
      <alignment horizontal="center"/>
    </xf>
    <xf numFmtId="9" fontId="0" fillId="0" borderId="0" xfId="2" applyFont="1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0" fillId="0" borderId="0" xfId="0"/>
    <xf numFmtId="0" fontId="18" fillId="0" borderId="51" xfId="0" applyFont="1" applyBorder="1" applyAlignment="1">
      <alignment horizontal="center"/>
    </xf>
    <xf numFmtId="0" fontId="0" fillId="0" borderId="46" xfId="0" applyBorder="1" applyAlignment="1">
      <alignment horizontal="center"/>
    </xf>
    <xf numFmtId="166" fontId="0" fillId="0" borderId="46" xfId="1" applyNumberFormat="1" applyFont="1" applyBorder="1" applyAlignment="1">
      <alignment horizontal="center"/>
    </xf>
    <xf numFmtId="166" fontId="0" fillId="0" borderId="91" xfId="1" applyNumberFormat="1" applyFont="1" applyBorder="1" applyAlignment="1">
      <alignment horizontal="center"/>
    </xf>
    <xf numFmtId="3" fontId="0" fillId="15" borderId="90" xfId="0" applyNumberFormat="1" applyFill="1" applyBorder="1"/>
    <xf numFmtId="166" fontId="13" fillId="16" borderId="90" xfId="1" applyNumberFormat="1" applyFill="1" applyBorder="1"/>
    <xf numFmtId="3" fontId="0" fillId="15" borderId="30" xfId="0" applyNumberFormat="1" applyFill="1" applyBorder="1"/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166" fontId="0" fillId="0" borderId="16" xfId="1" applyNumberFormat="1" applyFont="1" applyBorder="1" applyAlignment="1">
      <alignment horizontal="center"/>
    </xf>
    <xf numFmtId="3" fontId="0" fillId="15" borderId="16" xfId="0" applyNumberFormat="1" applyFill="1" applyBorder="1"/>
    <xf numFmtId="166" fontId="13" fillId="16" borderId="16" xfId="1" applyNumberFormat="1" applyFill="1" applyBorder="1"/>
    <xf numFmtId="166" fontId="0" fillId="16" borderId="16" xfId="1" applyNumberFormat="1" applyFont="1" applyFill="1" applyBorder="1"/>
    <xf numFmtId="0" fontId="18" fillId="0" borderId="51" xfId="0" applyFont="1" applyBorder="1" applyAlignment="1">
      <alignment horizontal="center" wrapText="1"/>
    </xf>
    <xf numFmtId="9" fontId="0" fillId="0" borderId="46" xfId="2" applyFont="1" applyBorder="1" applyAlignment="1">
      <alignment horizontal="center"/>
    </xf>
    <xf numFmtId="0" fontId="18" fillId="0" borderId="52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3" fontId="0" fillId="0" borderId="0" xfId="0" applyNumberFormat="1" applyFill="1" applyBorder="1"/>
    <xf numFmtId="166" fontId="13" fillId="0" borderId="0" xfId="1" applyNumberFormat="1" applyFill="1" applyBorder="1"/>
    <xf numFmtId="166" fontId="0" fillId="0" borderId="91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0" borderId="0" xfId="1" applyNumberFormat="1" applyFont="1" applyBorder="1" applyAlignment="1">
      <alignment horizontal="right" vertical="center"/>
    </xf>
    <xf numFmtId="9" fontId="0" fillId="0" borderId="0" xfId="2" applyFon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6" fontId="0" fillId="0" borderId="46" xfId="2" applyNumberFormat="1" applyFon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18" fillId="14" borderId="90" xfId="0" applyFont="1" applyFill="1" applyBorder="1" applyAlignment="1">
      <alignment horizontal="center" wrapText="1"/>
    </xf>
    <xf numFmtId="166" fontId="18" fillId="14" borderId="90" xfId="1" applyNumberFormat="1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/>
    </xf>
    <xf numFmtId="166" fontId="0" fillId="0" borderId="16" xfId="1" applyNumberFormat="1" applyFont="1" applyBorder="1"/>
    <xf numFmtId="166" fontId="13" fillId="16" borderId="45" xfId="1" applyNumberFormat="1" applyFill="1" applyBorder="1"/>
    <xf numFmtId="166" fontId="13" fillId="16" borderId="31" xfId="1" applyNumberFormat="1" applyFill="1" applyBorder="1"/>
    <xf numFmtId="166" fontId="13" fillId="16" borderId="11" xfId="1" applyNumberFormat="1" applyFill="1" applyBorder="1"/>
    <xf numFmtId="166" fontId="13" fillId="16" borderId="54" xfId="1" applyNumberFormat="1" applyFill="1" applyBorder="1"/>
    <xf numFmtId="9" fontId="0" fillId="0" borderId="0" xfId="2" applyFont="1" applyFill="1" applyBorder="1" applyAlignment="1">
      <alignment horizontal="center"/>
    </xf>
    <xf numFmtId="166" fontId="0" fillId="0" borderId="26" xfId="1" applyNumberFormat="1" applyFont="1" applyBorder="1" applyAlignment="1">
      <alignment horizontal="center"/>
    </xf>
    <xf numFmtId="0" fontId="69" fillId="0" borderId="0" xfId="0" applyFont="1" applyAlignment="1">
      <alignment horizontal="center"/>
    </xf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0" fontId="0" fillId="0" borderId="0" xfId="0" applyAlignment="1" applyProtection="1">
      <alignment readingOrder="1"/>
      <protection locked="0"/>
    </xf>
    <xf numFmtId="166" fontId="13" fillId="0" borderId="0" xfId="1" applyNumberFormat="1" applyAlignment="1" applyProtection="1">
      <alignment readingOrder="1"/>
      <protection locked="0"/>
    </xf>
    <xf numFmtId="166" fontId="0" fillId="0" borderId="0" xfId="0" applyNumberFormat="1" applyAlignment="1" applyProtection="1">
      <alignment readingOrder="1"/>
      <protection locked="0"/>
    </xf>
    <xf numFmtId="3" fontId="0" fillId="0" borderId="0" xfId="0" applyNumberFormat="1" applyBorder="1"/>
    <xf numFmtId="0" fontId="19" fillId="0" borderId="0" xfId="0" applyFont="1" applyBorder="1"/>
    <xf numFmtId="9" fontId="0" fillId="0" borderId="0" xfId="2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Border="1" applyAlignment="1">
      <alignment horizontal="center" vertical="center"/>
    </xf>
    <xf numFmtId="0" fontId="1" fillId="0" borderId="0" xfId="51" applyFont="1"/>
    <xf numFmtId="0" fontId="11" fillId="0" borderId="0" xfId="51" applyAlignment="1">
      <alignment horizontal="center" wrapText="1"/>
    </xf>
    <xf numFmtId="166" fontId="11" fillId="0" borderId="0" xfId="1" applyNumberFormat="1" applyFont="1" applyAlignment="1">
      <alignment horizontal="center" wrapText="1"/>
    </xf>
    <xf numFmtId="0" fontId="58" fillId="0" borderId="36" xfId="51" applyFont="1" applyBorder="1" applyAlignment="1">
      <alignment horizontal="center" wrapText="1"/>
    </xf>
    <xf numFmtId="0" fontId="58" fillId="0" borderId="37" xfId="51" applyFont="1" applyBorder="1" applyAlignment="1">
      <alignment horizontal="center" wrapText="1"/>
    </xf>
    <xf numFmtId="0" fontId="58" fillId="0" borderId="38" xfId="51" applyFont="1" applyBorder="1" applyAlignment="1">
      <alignment horizontal="center" wrapText="1"/>
    </xf>
    <xf numFmtId="0" fontId="11" fillId="0" borderId="17" xfId="51" applyBorder="1"/>
    <xf numFmtId="0" fontId="11" fillId="0" borderId="18" xfId="51" applyBorder="1"/>
    <xf numFmtId="0" fontId="11" fillId="0" borderId="19" xfId="51" applyBorder="1"/>
    <xf numFmtId="0" fontId="11" fillId="0" borderId="34" xfId="51" applyBorder="1"/>
    <xf numFmtId="0" fontId="11" fillId="0" borderId="0" xfId="51" applyBorder="1"/>
    <xf numFmtId="0" fontId="11" fillId="0" borderId="35" xfId="51" applyBorder="1"/>
    <xf numFmtId="0" fontId="11" fillId="0" borderId="36" xfId="51" applyBorder="1"/>
    <xf numFmtId="0" fontId="11" fillId="0" borderId="37" xfId="51" applyBorder="1"/>
    <xf numFmtId="0" fontId="11" fillId="0" borderId="38" xfId="51" applyBorder="1"/>
    <xf numFmtId="0" fontId="71" fillId="0" borderId="0" xfId="51" applyFont="1" applyAlignment="1">
      <alignment horizontal="center"/>
    </xf>
    <xf numFmtId="0" fontId="58" fillId="8" borderId="0" xfId="51" applyFont="1" applyFill="1" applyAlignment="1">
      <alignment horizontal="center"/>
    </xf>
    <xf numFmtId="0" fontId="58" fillId="0" borderId="15" xfId="51" applyFont="1" applyBorder="1" applyAlignment="1">
      <alignment horizontal="center" wrapText="1"/>
    </xf>
    <xf numFmtId="167" fontId="11" fillId="0" borderId="17" xfId="1" applyNumberFormat="1" applyFont="1" applyBorder="1"/>
    <xf numFmtId="167" fontId="11" fillId="0" borderId="34" xfId="1" applyNumberFormat="1" applyFont="1" applyBorder="1"/>
    <xf numFmtId="167" fontId="11" fillId="0" borderId="36" xfId="1" applyNumberFormat="1" applyFont="1" applyBorder="1"/>
    <xf numFmtId="166" fontId="11" fillId="0" borderId="17" xfId="1" applyNumberFormat="1" applyFont="1" applyBorder="1"/>
    <xf numFmtId="166" fontId="11" fillId="0" borderId="18" xfId="1" applyNumberFormat="1" applyFont="1" applyBorder="1"/>
    <xf numFmtId="166" fontId="11" fillId="0" borderId="19" xfId="1" applyNumberFormat="1" applyFont="1" applyBorder="1"/>
    <xf numFmtId="166" fontId="11" fillId="0" borderId="34" xfId="1" applyNumberFormat="1" applyFont="1" applyBorder="1"/>
    <xf numFmtId="166" fontId="11" fillId="0" borderId="0" xfId="1" applyNumberFormat="1" applyFont="1" applyBorder="1"/>
    <xf numFmtId="166" fontId="11" fillId="0" borderId="35" xfId="1" applyNumberFormat="1" applyFont="1" applyBorder="1"/>
    <xf numFmtId="166" fontId="11" fillId="0" borderId="36" xfId="1" applyNumberFormat="1" applyFont="1" applyBorder="1"/>
    <xf numFmtId="166" fontId="11" fillId="0" borderId="37" xfId="1" applyNumberFormat="1" applyFont="1" applyBorder="1"/>
    <xf numFmtId="166" fontId="11" fillId="0" borderId="38" xfId="1" applyNumberFormat="1" applyFont="1" applyBorder="1"/>
    <xf numFmtId="166" fontId="11" fillId="0" borderId="15" xfId="1" applyNumberFormat="1" applyFont="1" applyBorder="1"/>
    <xf numFmtId="166" fontId="11" fillId="0" borderId="87" xfId="1" applyNumberFormat="1" applyFont="1" applyBorder="1"/>
    <xf numFmtId="166" fontId="11" fillId="0" borderId="89" xfId="1" applyNumberFormat="1" applyFont="1" applyBorder="1"/>
    <xf numFmtId="166" fontId="1" fillId="7" borderId="87" xfId="1" applyNumberFormat="1" applyFont="1" applyFill="1" applyBorder="1"/>
    <xf numFmtId="0" fontId="73" fillId="0" borderId="0" xfId="51" applyFont="1" applyFill="1"/>
    <xf numFmtId="9" fontId="73" fillId="0" borderId="0" xfId="51" applyNumberFormat="1" applyFont="1" applyFill="1"/>
    <xf numFmtId="0" fontId="58" fillId="10" borderId="0" xfId="51" applyFont="1" applyFill="1" applyAlignment="1">
      <alignment horizontal="center"/>
    </xf>
    <xf numFmtId="166" fontId="11" fillId="0" borderId="17" xfId="51" applyNumberFormat="1" applyBorder="1"/>
    <xf numFmtId="0" fontId="1" fillId="0" borderId="16" xfId="51" applyFont="1" applyBorder="1"/>
    <xf numFmtId="0" fontId="58" fillId="51" borderId="10" xfId="51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" fillId="3" borderId="16" xfId="51" applyFont="1" applyFill="1" applyBorder="1"/>
    <xf numFmtId="0" fontId="11" fillId="3" borderId="16" xfId="51" applyFill="1" applyBorder="1"/>
    <xf numFmtId="164" fontId="11" fillId="0" borderId="45" xfId="1" applyFont="1" applyFill="1" applyBorder="1"/>
    <xf numFmtId="164" fontId="11" fillId="0" borderId="24" xfId="1" applyFont="1" applyFill="1" applyBorder="1"/>
    <xf numFmtId="164" fontId="0" fillId="0" borderId="16" xfId="1" applyFont="1" applyBorder="1"/>
    <xf numFmtId="166" fontId="11" fillId="0" borderId="16" xfId="1" applyNumberFormat="1" applyFont="1" applyBorder="1"/>
    <xf numFmtId="166" fontId="11" fillId="3" borderId="16" xfId="1" applyNumberFormat="1" applyFont="1" applyFill="1" applyBorder="1"/>
    <xf numFmtId="166" fontId="11" fillId="0" borderId="45" xfId="1" applyNumberFormat="1" applyFont="1" applyFill="1" applyBorder="1"/>
    <xf numFmtId="9" fontId="30" fillId="0" borderId="0" xfId="2" applyFont="1"/>
    <xf numFmtId="0" fontId="66" fillId="0" borderId="0" xfId="51" applyFont="1"/>
    <xf numFmtId="9" fontId="66" fillId="0" borderId="0" xfId="51" applyNumberFormat="1" applyFont="1"/>
    <xf numFmtId="0" fontId="58" fillId="0" borderId="37" xfId="51" applyFont="1" applyBorder="1"/>
    <xf numFmtId="0" fontId="71" fillId="0" borderId="37" xfId="51" applyFont="1" applyBorder="1" applyAlignment="1">
      <alignment horizontal="center"/>
    </xf>
    <xf numFmtId="166" fontId="58" fillId="0" borderId="37" xfId="1" applyNumberFormat="1" applyFont="1" applyBorder="1"/>
    <xf numFmtId="9" fontId="73" fillId="0" borderId="37" xfId="51" applyNumberFormat="1" applyFont="1" applyFill="1" applyBorder="1"/>
    <xf numFmtId="166" fontId="58" fillId="0" borderId="89" xfId="1" applyNumberFormat="1" applyFont="1" applyBorder="1" applyAlignment="1">
      <alignment horizontal="center"/>
    </xf>
    <xf numFmtId="0" fontId="58" fillId="53" borderId="16" xfId="51" applyFont="1" applyFill="1" applyBorder="1"/>
    <xf numFmtId="10" fontId="72" fillId="0" borderId="0" xfId="2" applyNumberFormat="1" applyFont="1"/>
    <xf numFmtId="166" fontId="1" fillId="0" borderId="45" xfId="1" applyNumberFormat="1" applyFont="1" applyFill="1" applyBorder="1"/>
    <xf numFmtId="0" fontId="1" fillId="0" borderId="0" xfId="51" applyFont="1" applyFill="1" applyBorder="1"/>
    <xf numFmtId="164" fontId="11" fillId="0" borderId="16" xfId="1" applyNumberFormat="1" applyFont="1" applyBorder="1"/>
    <xf numFmtId="0" fontId="0" fillId="0" borderId="10" xfId="0" applyBorder="1" applyAlignment="1">
      <alignment horizontal="center"/>
    </xf>
    <xf numFmtId="0" fontId="69" fillId="0" borderId="0" xfId="0" applyFont="1" applyAlignment="1">
      <alignment horizontal="center"/>
    </xf>
    <xf numFmtId="166" fontId="18" fillId="4" borderId="0" xfId="1" applyNumberFormat="1" applyFont="1" applyFill="1"/>
    <xf numFmtId="166" fontId="18" fillId="4" borderId="0" xfId="1" applyNumberFormat="1" applyFont="1" applyFill="1" applyBorder="1" applyAlignment="1">
      <alignment horizontal="center"/>
    </xf>
    <xf numFmtId="166" fontId="18" fillId="4" borderId="0" xfId="1" applyNumberFormat="1" applyFont="1" applyFill="1" applyBorder="1"/>
    <xf numFmtId="3" fontId="0" fillId="4" borderId="2" xfId="0" applyNumberFormat="1" applyFill="1" applyBorder="1"/>
    <xf numFmtId="166" fontId="18" fillId="0" borderId="0" xfId="0" applyNumberFormat="1" applyFont="1" applyAlignment="1">
      <alignment horizontal="center"/>
    </xf>
    <xf numFmtId="10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7" fontId="0" fillId="0" borderId="0" xfId="1" applyNumberFormat="1" applyFont="1" applyProtection="1">
      <protection locked="0"/>
    </xf>
    <xf numFmtId="166" fontId="0" fillId="0" borderId="0" xfId="1" applyNumberFormat="1" applyFont="1" applyProtection="1">
      <protection locked="0"/>
    </xf>
    <xf numFmtId="0" fontId="0" fillId="0" borderId="0" xfId="0" applyFill="1" applyBorder="1" applyProtection="1">
      <protection locked="0"/>
    </xf>
    <xf numFmtId="0" fontId="74" fillId="0" borderId="0" xfId="0" applyFont="1" applyAlignment="1" applyProtection="1">
      <protection locked="0"/>
    </xf>
    <xf numFmtId="0" fontId="74" fillId="0" borderId="0" xfId="0" applyFont="1" applyAlignment="1" applyProtection="1">
      <alignment horizontal="center"/>
      <protection locked="0"/>
    </xf>
    <xf numFmtId="9" fontId="0" fillId="0" borderId="0" xfId="2" applyFont="1" applyProtection="1">
      <protection locked="0"/>
    </xf>
    <xf numFmtId="164" fontId="0" fillId="0" borderId="0" xfId="0" applyNumberFormat="1" applyProtection="1">
      <protection locked="0"/>
    </xf>
    <xf numFmtId="171" fontId="0" fillId="0" borderId="16" xfId="1" applyNumberFormat="1" applyFont="1" applyBorder="1" applyAlignment="1">
      <alignment horizontal="center" wrapText="1"/>
    </xf>
    <xf numFmtId="0" fontId="18" fillId="14" borderId="15" xfId="0" applyFont="1" applyFill="1" applyBorder="1" applyAlignment="1">
      <alignment horizontal="center" wrapText="1"/>
    </xf>
    <xf numFmtId="0" fontId="18" fillId="10" borderId="15" xfId="0" applyFont="1" applyFill="1" applyBorder="1" applyAlignment="1">
      <alignment horizontal="center" wrapText="1"/>
    </xf>
    <xf numFmtId="0" fontId="18" fillId="14" borderId="12" xfId="0" applyFont="1" applyFill="1" applyBorder="1" applyAlignment="1">
      <alignment horizontal="center" wrapText="1"/>
    </xf>
    <xf numFmtId="167" fontId="18" fillId="2" borderId="15" xfId="1" applyNumberFormat="1" applyFont="1" applyFill="1" applyBorder="1" applyAlignment="1">
      <alignment horizontal="center" wrapText="1"/>
    </xf>
    <xf numFmtId="0" fontId="18" fillId="14" borderId="14" xfId="0" applyFont="1" applyFill="1" applyBorder="1" applyAlignment="1">
      <alignment horizontal="center" wrapText="1"/>
    </xf>
    <xf numFmtId="0" fontId="18" fillId="54" borderId="15" xfId="0" applyFont="1" applyFill="1" applyBorder="1" applyAlignment="1">
      <alignment horizontal="center" wrapText="1"/>
    </xf>
    <xf numFmtId="0" fontId="18" fillId="14" borderId="89" xfId="0" applyFont="1" applyFill="1" applyBorder="1" applyAlignment="1" applyProtection="1">
      <alignment horizontal="center" wrapText="1"/>
      <protection locked="0"/>
    </xf>
    <xf numFmtId="0" fontId="18" fillId="10" borderId="89" xfId="0" applyFont="1" applyFill="1" applyBorder="1" applyAlignment="1" applyProtection="1">
      <alignment horizontal="center" wrapText="1"/>
      <protection locked="0"/>
    </xf>
    <xf numFmtId="9" fontId="18" fillId="14" borderId="34" xfId="0" applyNumberFormat="1" applyFont="1" applyFill="1" applyBorder="1" applyAlignment="1" applyProtection="1">
      <alignment horizontal="center" wrapText="1"/>
      <protection locked="0"/>
    </xf>
    <xf numFmtId="167" fontId="18" fillId="2" borderId="89" xfId="1" applyNumberFormat="1" applyFont="1" applyFill="1" applyBorder="1" applyAlignment="1" applyProtection="1">
      <alignment horizontal="center" wrapText="1"/>
      <protection locked="0"/>
    </xf>
    <xf numFmtId="0" fontId="18" fillId="54" borderId="89" xfId="0" applyFont="1" applyFill="1" applyBorder="1" applyAlignment="1" applyProtection="1">
      <alignment horizontal="center" wrapText="1"/>
      <protection locked="0"/>
    </xf>
    <xf numFmtId="166" fontId="0" fillId="0" borderId="16" xfId="1" applyNumberFormat="1" applyFont="1" applyBorder="1" applyAlignment="1">
      <alignment horizontal="center" wrapText="1"/>
    </xf>
    <xf numFmtId="9" fontId="0" fillId="0" borderId="16" xfId="0" applyNumberFormat="1" applyBorder="1" applyAlignment="1">
      <alignment horizontal="center" wrapText="1"/>
    </xf>
    <xf numFmtId="166" fontId="0" fillId="0" borderId="16" xfId="1" applyNumberFormat="1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0" fillId="0" borderId="16" xfId="0" applyBorder="1" applyAlignment="1" applyProtection="1">
      <alignment horizontal="center" wrapText="1"/>
      <protection locked="0"/>
    </xf>
    <xf numFmtId="0" fontId="18" fillId="0" borderId="27" xfId="0" applyFont="1" applyFill="1" applyBorder="1" applyAlignment="1">
      <alignment horizontal="center" wrapText="1"/>
    </xf>
    <xf numFmtId="0" fontId="18" fillId="0" borderId="49" xfId="0" applyFont="1" applyBorder="1"/>
    <xf numFmtId="166" fontId="18" fillId="0" borderId="49" xfId="1" applyNumberFormat="1" applyFont="1" applyBorder="1"/>
    <xf numFmtId="166" fontId="18" fillId="0" borderId="49" xfId="1" applyNumberFormat="1" applyFont="1" applyFill="1" applyBorder="1"/>
    <xf numFmtId="166" fontId="0" fillId="0" borderId="33" xfId="1" applyNumberFormat="1" applyFont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0" fillId="0" borderId="32" xfId="0" applyBorder="1" applyAlignment="1" applyProtection="1">
      <alignment horizontal="center" wrapText="1"/>
      <protection locked="0"/>
    </xf>
    <xf numFmtId="166" fontId="18" fillId="0" borderId="50" xfId="1" applyNumberFormat="1" applyFont="1" applyFill="1" applyBorder="1"/>
    <xf numFmtId="0" fontId="0" fillId="0" borderId="16" xfId="0" applyFont="1" applyBorder="1" applyAlignment="1">
      <alignment horizontal="center" wrapText="1"/>
    </xf>
    <xf numFmtId="166" fontId="0" fillId="0" borderId="32" xfId="1" applyNumberFormat="1" applyFont="1" applyFill="1" applyBorder="1" applyAlignment="1">
      <alignment horizontal="center" wrapText="1"/>
    </xf>
    <xf numFmtId="166" fontId="18" fillId="0" borderId="27" xfId="1" applyNumberFormat="1" applyFont="1" applyFill="1" applyBorder="1"/>
    <xf numFmtId="166" fontId="0" fillId="0" borderId="0" xfId="0" applyNumberFormat="1" applyProtection="1">
      <protection locked="0"/>
    </xf>
    <xf numFmtId="167" fontId="0" fillId="0" borderId="32" xfId="1" applyNumberFormat="1" applyFont="1" applyFill="1" applyBorder="1" applyAlignment="1">
      <alignment horizontal="center" wrapText="1"/>
    </xf>
    <xf numFmtId="0" fontId="75" fillId="0" borderId="0" xfId="0" applyFont="1" applyAlignment="1" applyProtection="1">
      <alignment horizontal="center"/>
      <protection locked="0"/>
    </xf>
    <xf numFmtId="0" fontId="0" fillId="3" borderId="16" xfId="0" applyFill="1" applyBorder="1" applyAlignment="1">
      <alignment horizontal="center" wrapText="1"/>
    </xf>
    <xf numFmtId="0" fontId="77" fillId="0" borderId="0" xfId="0" applyFont="1" applyAlignment="1">
      <alignment horizontal="center"/>
    </xf>
    <xf numFmtId="10" fontId="0" fillId="0" borderId="0" xfId="2" applyNumberFormat="1" applyFont="1"/>
    <xf numFmtId="166" fontId="18" fillId="0" borderId="6" xfId="1" applyNumberFormat="1" applyFont="1" applyBorder="1" applyAlignment="1" applyProtection="1">
      <alignment readingOrder="1"/>
      <protection locked="0"/>
    </xf>
    <xf numFmtId="166" fontId="0" fillId="0" borderId="0" xfId="1" applyNumberFormat="1" applyFont="1" applyFill="1" applyBorder="1" applyAlignment="1">
      <alignment horizontal="center" wrapText="1"/>
    </xf>
    <xf numFmtId="0" fontId="18" fillId="0" borderId="49" xfId="0" applyFont="1" applyBorder="1" applyAlignment="1">
      <alignment horizontal="center"/>
    </xf>
    <xf numFmtId="0" fontId="69" fillId="0" borderId="0" xfId="0" applyFont="1"/>
    <xf numFmtId="0" fontId="18" fillId="56" borderId="12" xfId="0" applyFont="1" applyFill="1" applyBorder="1" applyAlignment="1">
      <alignment horizontal="center" wrapText="1"/>
    </xf>
    <xf numFmtId="0" fontId="18" fillId="56" borderId="89" xfId="0" applyFont="1" applyFill="1" applyBorder="1" applyAlignment="1" applyProtection="1">
      <alignment horizontal="center" wrapText="1"/>
      <protection locked="0"/>
    </xf>
    <xf numFmtId="0" fontId="0" fillId="7" borderId="32" xfId="0" applyFill="1" applyBorder="1" applyAlignment="1">
      <alignment horizontal="center" wrapText="1"/>
    </xf>
    <xf numFmtId="0" fontId="80" fillId="0" borderId="0" xfId="0" applyFont="1" applyAlignment="1">
      <alignment horizontal="center"/>
    </xf>
    <xf numFmtId="0" fontId="72" fillId="0" borderId="0" xfId="0" applyFont="1"/>
    <xf numFmtId="0" fontId="81" fillId="0" borderId="0" xfId="0" applyFont="1"/>
    <xf numFmtId="167" fontId="0" fillId="0" borderId="0" xfId="0" applyNumberFormat="1" applyProtection="1">
      <protection locked="0"/>
    </xf>
    <xf numFmtId="164" fontId="0" fillId="0" borderId="0" xfId="1" applyFont="1" applyProtection="1">
      <protection locked="0"/>
    </xf>
    <xf numFmtId="0" fontId="76" fillId="0" borderId="0" xfId="0" applyFont="1" applyAlignment="1">
      <alignment horizontal="center"/>
    </xf>
    <xf numFmtId="0" fontId="76" fillId="0" borderId="0" xfId="0" applyFont="1" applyAlignment="1"/>
    <xf numFmtId="164" fontId="0" fillId="0" borderId="0" xfId="1" applyNumberFormat="1" applyFont="1"/>
    <xf numFmtId="0" fontId="0" fillId="0" borderId="0" xfId="0" applyFont="1" applyAlignment="1" applyProtection="1">
      <alignment readingOrder="1"/>
      <protection locked="0"/>
    </xf>
    <xf numFmtId="0" fontId="0" fillId="0" borderId="0" xfId="0" applyFont="1" applyAlignment="1" applyProtection="1">
      <alignment horizontal="left" readingOrder="1"/>
      <protection locked="0"/>
    </xf>
    <xf numFmtId="166" fontId="13" fillId="0" borderId="4" xfId="1" applyNumberFormat="1" applyFont="1" applyBorder="1" applyAlignment="1" applyProtection="1">
      <alignment readingOrder="1"/>
      <protection locked="0"/>
    </xf>
    <xf numFmtId="166" fontId="0" fillId="0" borderId="0" xfId="0" applyNumberFormat="1" applyFont="1" applyAlignment="1" applyProtection="1">
      <alignment readingOrder="1"/>
      <protection locked="0"/>
    </xf>
    <xf numFmtId="0" fontId="14" fillId="2" borderId="15" xfId="0" applyFont="1" applyFill="1" applyBorder="1" applyAlignment="1" applyProtection="1">
      <alignment horizontal="center" readingOrder="1"/>
      <protection locked="0"/>
    </xf>
    <xf numFmtId="0" fontId="16" fillId="6" borderId="53" xfId="0" applyFont="1" applyFill="1" applyBorder="1" applyAlignment="1" applyProtection="1">
      <alignment horizontal="center" readingOrder="1"/>
      <protection locked="0"/>
    </xf>
    <xf numFmtId="0" fontId="16" fillId="6" borderId="54" xfId="0" applyFont="1" applyFill="1" applyBorder="1" applyAlignment="1" applyProtection="1">
      <alignment horizontal="center" readingOrder="1"/>
      <protection locked="0"/>
    </xf>
    <xf numFmtId="0" fontId="60" fillId="8" borderId="15" xfId="0" applyFont="1" applyFill="1" applyBorder="1" applyAlignment="1" applyProtection="1">
      <alignment horizontal="center" readingOrder="1"/>
      <protection locked="0"/>
    </xf>
    <xf numFmtId="0" fontId="83" fillId="0" borderId="0" xfId="0" applyFont="1"/>
    <xf numFmtId="0" fontId="84" fillId="0" borderId="0" xfId="0" applyFont="1"/>
    <xf numFmtId="164" fontId="84" fillId="0" borderId="0" xfId="1" applyFont="1"/>
    <xf numFmtId="0" fontId="8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7" fillId="7" borderId="1" xfId="0" applyFont="1" applyFill="1" applyBorder="1" applyAlignment="1">
      <alignment horizontal="center"/>
    </xf>
    <xf numFmtId="0" fontId="87" fillId="7" borderId="2" xfId="0" applyFont="1" applyFill="1" applyBorder="1" applyAlignment="1">
      <alignment horizontal="center"/>
    </xf>
    <xf numFmtId="0" fontId="87" fillId="7" borderId="54" xfId="0" applyFont="1" applyFill="1" applyBorder="1" applyAlignment="1">
      <alignment horizontal="center"/>
    </xf>
    <xf numFmtId="0" fontId="88" fillId="0" borderId="0" xfId="0" applyFont="1"/>
    <xf numFmtId="0" fontId="90" fillId="0" borderId="0" xfId="0" applyFont="1"/>
    <xf numFmtId="166" fontId="79" fillId="0" borderId="0" xfId="1" applyNumberFormat="1" applyFont="1" applyBorder="1"/>
    <xf numFmtId="9" fontId="91" fillId="0" borderId="0" xfId="2" applyFont="1"/>
    <xf numFmtId="0" fontId="0" fillId="59" borderId="0" xfId="0" applyFill="1"/>
    <xf numFmtId="0" fontId="87" fillId="7" borderId="16" xfId="0" applyFont="1" applyFill="1" applyBorder="1" applyAlignment="1">
      <alignment horizontal="center"/>
    </xf>
    <xf numFmtId="0" fontId="89" fillId="0" borderId="0" xfId="0" applyFont="1"/>
    <xf numFmtId="9" fontId="89" fillId="0" borderId="0" xfId="2" applyNumberFormat="1" applyFont="1"/>
    <xf numFmtId="10" fontId="92" fillId="0" borderId="0" xfId="2" applyNumberFormat="1" applyFont="1"/>
    <xf numFmtId="166" fontId="92" fillId="0" borderId="0" xfId="1" applyNumberFormat="1" applyFont="1"/>
    <xf numFmtId="10" fontId="89" fillId="0" borderId="0" xfId="2" applyNumberFormat="1" applyFont="1" applyBorder="1"/>
    <xf numFmtId="0" fontId="0" fillId="0" borderId="0" xfId="0" applyAlignment="1">
      <alignment horizontal="left"/>
    </xf>
    <xf numFmtId="9" fontId="0" fillId="0" borderId="0" xfId="2" applyNumberFormat="1" applyFont="1"/>
    <xf numFmtId="9" fontId="85" fillId="0" borderId="0" xfId="2" applyFont="1" applyAlignment="1">
      <alignment horizontal="center"/>
    </xf>
    <xf numFmtId="167" fontId="89" fillId="0" borderId="0" xfId="1" applyNumberFormat="1" applyFont="1" applyFill="1"/>
    <xf numFmtId="167" fontId="85" fillId="0" borderId="0" xfId="0" applyNumberFormat="1" applyFont="1" applyAlignment="1">
      <alignment horizontal="center"/>
    </xf>
    <xf numFmtId="167" fontId="89" fillId="0" borderId="6" xfId="1" applyNumberFormat="1" applyFont="1" applyFill="1" applyBorder="1"/>
    <xf numFmtId="167" fontId="79" fillId="0" borderId="0" xfId="1" applyNumberFormat="1" applyFont="1" applyBorder="1"/>
    <xf numFmtId="166" fontId="18" fillId="0" borderId="3" xfId="1" applyNumberFormat="1" applyFont="1" applyBorder="1" applyAlignment="1" applyProtection="1">
      <alignment readingOrder="1"/>
    </xf>
    <xf numFmtId="166" fontId="13" fillId="0" borderId="0" xfId="1" applyNumberFormat="1" applyAlignment="1" applyProtection="1">
      <alignment readingOrder="1"/>
    </xf>
    <xf numFmtId="166" fontId="13" fillId="0" borderId="4" xfId="1" applyNumberFormat="1" applyFont="1" applyBorder="1" applyAlignment="1" applyProtection="1">
      <alignment readingOrder="1"/>
    </xf>
    <xf numFmtId="166" fontId="18" fillId="0" borderId="0" xfId="1" applyNumberFormat="1" applyFont="1" applyBorder="1" applyAlignment="1" applyProtection="1">
      <alignment readingOrder="1"/>
    </xf>
    <xf numFmtId="166" fontId="18" fillId="0" borderId="6" xfId="1" applyNumberFormat="1" applyFont="1" applyBorder="1" applyAlignment="1" applyProtection="1">
      <alignment readingOrder="1"/>
    </xf>
    <xf numFmtId="166" fontId="15" fillId="0" borderId="0" xfId="1" applyNumberFormat="1" applyFont="1" applyAlignment="1" applyProtection="1">
      <alignment horizontal="center" readingOrder="1"/>
      <protection locked="0"/>
    </xf>
    <xf numFmtId="167" fontId="79" fillId="0" borderId="0" xfId="1" applyNumberFormat="1" applyFont="1" applyFill="1" applyBorder="1"/>
    <xf numFmtId="173" fontId="0" fillId="0" borderId="0" xfId="0" applyNumberFormat="1"/>
    <xf numFmtId="0" fontId="0" fillId="0" borderId="36" xfId="0" applyBorder="1"/>
    <xf numFmtId="0" fontId="18" fillId="3" borderId="29" xfId="0" applyFont="1" applyFill="1" applyBorder="1" applyAlignment="1">
      <alignment horizontal="center"/>
    </xf>
    <xf numFmtId="0" fontId="18" fillId="3" borderId="30" xfId="0" applyFont="1" applyFill="1" applyBorder="1" applyAlignment="1">
      <alignment horizontal="center"/>
    </xf>
    <xf numFmtId="174" fontId="0" fillId="0" borderId="0" xfId="247" applyNumberFormat="1" applyFont="1" applyAlignment="1"/>
    <xf numFmtId="174" fontId="0" fillId="0" borderId="0" xfId="247" applyNumberFormat="1" applyFont="1" applyAlignment="1">
      <alignment horizontal="center"/>
    </xf>
    <xf numFmtId="9" fontId="82" fillId="0" borderId="0" xfId="2" applyFont="1" applyAlignment="1" applyProtection="1">
      <alignment readingOrder="1"/>
      <protection locked="0"/>
    </xf>
    <xf numFmtId="0" fontId="100" fillId="0" borderId="0" xfId="0" applyFont="1" applyAlignment="1" applyProtection="1">
      <alignment readingOrder="1"/>
      <protection locked="0"/>
    </xf>
    <xf numFmtId="0" fontId="0" fillId="0" borderId="0" xfId="249" applyFont="1"/>
    <xf numFmtId="0" fontId="13" fillId="0" borderId="0" xfId="249" applyFont="1"/>
    <xf numFmtId="0" fontId="101" fillId="0" borderId="0" xfId="249" applyFont="1" applyAlignment="1">
      <alignment horizontal="center" readingOrder="1"/>
    </xf>
    <xf numFmtId="0" fontId="18" fillId="0" borderId="0" xfId="249" applyFont="1"/>
    <xf numFmtId="0" fontId="99" fillId="61" borderId="36" xfId="249" applyFont="1" applyFill="1" applyBorder="1" applyAlignment="1">
      <alignment horizontal="center"/>
    </xf>
    <xf numFmtId="0" fontId="16" fillId="0" borderId="0" xfId="249" applyFont="1"/>
    <xf numFmtId="0" fontId="18" fillId="55" borderId="16" xfId="249" applyFont="1" applyFill="1" applyBorder="1" applyAlignment="1">
      <alignment horizontal="center" wrapText="1"/>
    </xf>
    <xf numFmtId="0" fontId="18" fillId="57" borderId="16" xfId="249" applyFont="1" applyFill="1" applyBorder="1" applyAlignment="1">
      <alignment horizontal="center" wrapText="1"/>
    </xf>
    <xf numFmtId="0" fontId="69" fillId="0" borderId="0" xfId="249" applyFont="1" applyAlignment="1">
      <alignment horizontal="center"/>
    </xf>
    <xf numFmtId="0" fontId="18" fillId="53" borderId="10" xfId="249" applyFont="1" applyFill="1" applyBorder="1"/>
    <xf numFmtId="0" fontId="78" fillId="0" borderId="0" xfId="249" applyFont="1" applyAlignment="1">
      <alignment horizontal="center"/>
    </xf>
    <xf numFmtId="0" fontId="13" fillId="0" borderId="16" xfId="249" applyFont="1" applyBorder="1" applyAlignment="1">
      <alignment horizontal="center"/>
    </xf>
    <xf numFmtId="0" fontId="13" fillId="16" borderId="16" xfId="249" applyFont="1" applyFill="1" applyBorder="1" applyAlignment="1">
      <alignment horizontal="center"/>
    </xf>
    <xf numFmtId="174" fontId="19" fillId="0" borderId="16" xfId="250" applyNumberFormat="1" applyFont="1" applyFill="1" applyBorder="1" applyAlignment="1">
      <alignment horizontal="center"/>
    </xf>
    <xf numFmtId="174" fontId="13" fillId="0" borderId="16" xfId="250" applyNumberFormat="1" applyFont="1" applyFill="1" applyBorder="1" applyAlignment="1">
      <alignment horizontal="center"/>
    </xf>
    <xf numFmtId="0" fontId="13" fillId="0" borderId="0" xfId="249" applyFont="1" applyAlignment="1">
      <alignment horizontal="center"/>
    </xf>
    <xf numFmtId="174" fontId="13" fillId="0" borderId="16" xfId="249" applyNumberFormat="1" applyFont="1" applyBorder="1" applyAlignment="1">
      <alignment horizontal="center"/>
    </xf>
    <xf numFmtId="0" fontId="19" fillId="0" borderId="0" xfId="249" applyFont="1" applyAlignment="1">
      <alignment horizontal="center"/>
    </xf>
    <xf numFmtId="174" fontId="13" fillId="0" borderId="0" xfId="249" applyNumberFormat="1" applyFont="1" applyAlignment="1">
      <alignment horizontal="center"/>
    </xf>
    <xf numFmtId="174" fontId="18" fillId="0" borderId="0" xfId="249" applyNumberFormat="1" applyFont="1" applyAlignment="1">
      <alignment horizontal="center"/>
    </xf>
    <xf numFmtId="175" fontId="13" fillId="0" borderId="0" xfId="249" applyNumberFormat="1" applyFont="1" applyAlignment="1">
      <alignment horizontal="center"/>
    </xf>
    <xf numFmtId="174" fontId="13" fillId="0" borderId="0" xfId="249" applyNumberFormat="1" applyFont="1"/>
    <xf numFmtId="174" fontId="13" fillId="0" borderId="0" xfId="250" applyNumberFormat="1" applyFont="1" applyFill="1" applyBorder="1" applyAlignment="1"/>
    <xf numFmtId="174" fontId="0" fillId="0" borderId="0" xfId="250" applyNumberFormat="1" applyFont="1" applyAlignment="1"/>
    <xf numFmtId="0" fontId="75" fillId="0" borderId="0" xfId="249" applyFont="1"/>
    <xf numFmtId="166" fontId="13" fillId="0" borderId="0" xfId="249" applyNumberFormat="1" applyFont="1"/>
    <xf numFmtId="10" fontId="13" fillId="0" borderId="0" xfId="249" applyNumberFormat="1" applyFont="1"/>
    <xf numFmtId="9" fontId="30" fillId="0" borderId="0" xfId="251" applyFont="1" applyFill="1" applyBorder="1" applyAlignment="1">
      <alignment horizontal="center"/>
    </xf>
    <xf numFmtId="174" fontId="0" fillId="0" borderId="0" xfId="249" applyNumberFormat="1" applyFont="1"/>
    <xf numFmtId="9" fontId="13" fillId="0" borderId="0" xfId="249" applyNumberFormat="1" applyFont="1"/>
    <xf numFmtId="0" fontId="13" fillId="0" borderId="16" xfId="249" applyFont="1" applyBorder="1" applyAlignment="1" applyProtection="1">
      <alignment horizontal="center"/>
    </xf>
    <xf numFmtId="0" fontId="72" fillId="0" borderId="16" xfId="249" applyFont="1" applyBorder="1" applyAlignment="1" applyProtection="1">
      <alignment horizontal="center"/>
      <protection locked="0"/>
    </xf>
    <xf numFmtId="0" fontId="30" fillId="0" borderId="16" xfId="249" applyFont="1" applyBorder="1" applyAlignment="1" applyProtection="1">
      <alignment horizontal="center"/>
      <protection locked="0"/>
    </xf>
    <xf numFmtId="174" fontId="30" fillId="0" borderId="16" xfId="250" applyNumberFormat="1" applyFont="1" applyFill="1" applyBorder="1" applyAlignment="1" applyProtection="1">
      <alignment horizontal="center"/>
      <protection locked="0"/>
    </xf>
    <xf numFmtId="174" fontId="72" fillId="0" borderId="16" xfId="250" applyNumberFormat="1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>
      <alignment horizontal="center"/>
    </xf>
    <xf numFmtId="0" fontId="18" fillId="56" borderId="17" xfId="0" applyFont="1" applyFill="1" applyBorder="1" applyAlignment="1">
      <alignment horizontal="center" wrapText="1"/>
    </xf>
    <xf numFmtId="0" fontId="18" fillId="3" borderId="87" xfId="0" applyFont="1" applyFill="1" applyBorder="1" applyAlignment="1">
      <alignment horizontal="center"/>
    </xf>
    <xf numFmtId="0" fontId="72" fillId="0" borderId="16" xfId="0" applyFont="1" applyBorder="1"/>
    <xf numFmtId="0" fontId="18" fillId="11" borderId="10" xfId="249" applyFont="1" applyFill="1" applyBorder="1" applyAlignment="1">
      <alignment horizontal="center" wrapText="1"/>
    </xf>
    <xf numFmtId="0" fontId="18" fillId="11" borderId="16" xfId="249" applyFont="1" applyFill="1" applyBorder="1" applyAlignment="1">
      <alignment horizontal="center" wrapText="1"/>
    </xf>
    <xf numFmtId="0" fontId="18" fillId="8" borderId="16" xfId="249" applyFont="1" applyFill="1" applyBorder="1" applyAlignment="1">
      <alignment horizontal="center" wrapText="1"/>
    </xf>
    <xf numFmtId="177" fontId="0" fillId="0" borderId="16" xfId="0" applyNumberFormat="1" applyBorder="1"/>
    <xf numFmtId="177" fontId="18" fillId="57" borderId="16" xfId="252" applyNumberFormat="1" applyFont="1" applyFill="1" applyBorder="1"/>
    <xf numFmtId="0" fontId="103" fillId="4" borderId="15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8" fillId="3" borderId="0" xfId="0" applyFont="1" applyFill="1"/>
    <xf numFmtId="177" fontId="18" fillId="3" borderId="0" xfId="0" applyNumberFormat="1" applyFont="1" applyFill="1"/>
    <xf numFmtId="0" fontId="104" fillId="0" borderId="0" xfId="0" applyFont="1"/>
    <xf numFmtId="0" fontId="0" fillId="0" borderId="0" xfId="0" applyAlignment="1">
      <alignment horizontal="right"/>
    </xf>
    <xf numFmtId="166" fontId="13" fillId="0" borderId="0" xfId="253" applyNumberFormat="1" applyFont="1"/>
    <xf numFmtId="0" fontId="13" fillId="0" borderId="0" xfId="253" applyFont="1"/>
    <xf numFmtId="171" fontId="13" fillId="0" borderId="0" xfId="253" applyNumberFormat="1" applyFont="1"/>
    <xf numFmtId="0" fontId="56" fillId="0" borderId="0" xfId="253"/>
    <xf numFmtId="0" fontId="56" fillId="0" borderId="20" xfId="253" applyBorder="1"/>
    <xf numFmtId="171" fontId="13" fillId="0" borderId="21" xfId="253" applyNumberFormat="1" applyFont="1" applyBorder="1"/>
    <xf numFmtId="166" fontId="76" fillId="0" borderId="0" xfId="253" applyNumberFormat="1" applyFont="1" applyAlignment="1">
      <alignment horizontal="center"/>
    </xf>
    <xf numFmtId="0" fontId="18" fillId="0" borderId="0" xfId="253" applyFont="1" applyAlignment="1">
      <alignment horizontal="center"/>
    </xf>
    <xf numFmtId="0" fontId="13" fillId="0" borderId="0" xfId="253" applyFont="1" applyAlignment="1">
      <alignment horizontal="center"/>
    </xf>
    <xf numFmtId="166" fontId="13" fillId="0" borderId="0" xfId="253" applyNumberFormat="1" applyFont="1" applyAlignment="1">
      <alignment horizontal="center"/>
    </xf>
    <xf numFmtId="0" fontId="18" fillId="63" borderId="95" xfId="253" applyFont="1" applyFill="1" applyBorder="1" applyAlignment="1">
      <alignment horizontal="center" wrapText="1"/>
    </xf>
    <xf numFmtId="0" fontId="18" fillId="63" borderId="96" xfId="253" applyFont="1" applyFill="1" applyBorder="1" applyAlignment="1">
      <alignment horizontal="center" wrapText="1"/>
    </xf>
    <xf numFmtId="166" fontId="18" fillId="63" borderId="96" xfId="253" applyNumberFormat="1" applyFont="1" applyFill="1" applyBorder="1" applyAlignment="1">
      <alignment horizontal="center" wrapText="1"/>
    </xf>
    <xf numFmtId="166" fontId="18" fillId="63" borderId="97" xfId="253" applyNumberFormat="1" applyFont="1" applyFill="1" applyBorder="1" applyAlignment="1">
      <alignment horizontal="center" wrapText="1"/>
    </xf>
    <xf numFmtId="0" fontId="18" fillId="63" borderId="98" xfId="253" applyFont="1" applyFill="1" applyBorder="1" applyAlignment="1">
      <alignment horizontal="center" wrapText="1"/>
    </xf>
    <xf numFmtId="0" fontId="18" fillId="63" borderId="99" xfId="253" applyFont="1" applyFill="1" applyBorder="1" applyAlignment="1">
      <alignment horizontal="center" wrapText="1"/>
    </xf>
    <xf numFmtId="0" fontId="18" fillId="63" borderId="100" xfId="253" applyFont="1" applyFill="1" applyBorder="1" applyAlignment="1">
      <alignment horizontal="center" wrapText="1"/>
    </xf>
    <xf numFmtId="0" fontId="18" fillId="63" borderId="101" xfId="253" applyFont="1" applyFill="1" applyBorder="1" applyAlignment="1">
      <alignment horizontal="center" wrapText="1"/>
    </xf>
    <xf numFmtId="0" fontId="18" fillId="63" borderId="102" xfId="253" applyFont="1" applyFill="1" applyBorder="1" applyAlignment="1">
      <alignment horizontal="center" wrapText="1"/>
    </xf>
    <xf numFmtId="0" fontId="18" fillId="63" borderId="103" xfId="253" applyFont="1" applyFill="1" applyBorder="1" applyAlignment="1">
      <alignment horizontal="center" wrapText="1"/>
    </xf>
    <xf numFmtId="3" fontId="13" fillId="64" borderId="106" xfId="253" applyNumberFormat="1" applyFont="1" applyFill="1" applyBorder="1"/>
    <xf numFmtId="3" fontId="13" fillId="65" borderId="104" xfId="253" applyNumberFormat="1" applyFont="1" applyFill="1" applyBorder="1"/>
    <xf numFmtId="166" fontId="13" fillId="66" borderId="105" xfId="253" applyNumberFormat="1" applyFont="1" applyFill="1" applyBorder="1"/>
    <xf numFmtId="166" fontId="13" fillId="66" borderId="107" xfId="253" applyNumberFormat="1" applyFont="1" applyFill="1" applyBorder="1"/>
    <xf numFmtId="3" fontId="13" fillId="67" borderId="108" xfId="253" applyNumberFormat="1" applyFont="1" applyFill="1" applyBorder="1"/>
    <xf numFmtId="3" fontId="13" fillId="0" borderId="109" xfId="253" applyNumberFormat="1" applyFont="1" applyBorder="1" applyAlignment="1">
      <alignment horizontal="right"/>
    </xf>
    <xf numFmtId="175" fontId="56" fillId="0" borderId="0" xfId="253" applyNumberFormat="1"/>
    <xf numFmtId="3" fontId="13" fillId="64" borderId="113" xfId="253" applyNumberFormat="1" applyFont="1" applyFill="1" applyBorder="1"/>
    <xf numFmtId="3" fontId="13" fillId="65" borderId="111" xfId="253" applyNumberFormat="1" applyFont="1" applyFill="1" applyBorder="1"/>
    <xf numFmtId="3" fontId="13" fillId="64" borderId="111" xfId="253" applyNumberFormat="1" applyFont="1" applyFill="1" applyBorder="1"/>
    <xf numFmtId="166" fontId="13" fillId="66" borderId="112" xfId="253" applyNumberFormat="1" applyFont="1" applyFill="1" applyBorder="1"/>
    <xf numFmtId="3" fontId="13" fillId="67" borderId="114" xfId="253" applyNumberFormat="1" applyFont="1" applyFill="1" applyBorder="1"/>
    <xf numFmtId="3" fontId="13" fillId="0" borderId="115" xfId="253" applyNumberFormat="1" applyFont="1" applyBorder="1" applyAlignment="1">
      <alignment horizontal="right" readingOrder="2"/>
    </xf>
    <xf numFmtId="166" fontId="13" fillId="66" borderId="108" xfId="253" applyNumberFormat="1" applyFont="1" applyFill="1" applyBorder="1"/>
    <xf numFmtId="3" fontId="18" fillId="0" borderId="0" xfId="253" applyNumberFormat="1" applyFont="1"/>
    <xf numFmtId="166" fontId="13" fillId="66" borderId="116" xfId="253" applyNumberFormat="1" applyFont="1" applyFill="1" applyBorder="1"/>
    <xf numFmtId="1" fontId="13" fillId="0" borderId="0" xfId="253" applyNumberFormat="1" applyFont="1"/>
    <xf numFmtId="3" fontId="13" fillId="64" borderId="120" xfId="253" applyNumberFormat="1" applyFont="1" applyFill="1" applyBorder="1"/>
    <xf numFmtId="3" fontId="13" fillId="65" borderId="118" xfId="253" applyNumberFormat="1" applyFont="1" applyFill="1" applyBorder="1"/>
    <xf numFmtId="3" fontId="13" fillId="64" borderId="118" xfId="253" applyNumberFormat="1" applyFont="1" applyFill="1" applyBorder="1"/>
    <xf numFmtId="166" fontId="13" fillId="66" borderId="119" xfId="253" applyNumberFormat="1" applyFont="1" applyFill="1" applyBorder="1"/>
    <xf numFmtId="166" fontId="13" fillId="66" borderId="121" xfId="253" applyNumberFormat="1" applyFont="1" applyFill="1" applyBorder="1"/>
    <xf numFmtId="166" fontId="18" fillId="0" borderId="0" xfId="253" applyNumberFormat="1" applyFont="1"/>
    <xf numFmtId="3" fontId="13" fillId="0" borderId="0" xfId="253" applyNumberFormat="1" applyFont="1"/>
    <xf numFmtId="3" fontId="13" fillId="64" borderId="124" xfId="253" applyNumberFormat="1" applyFont="1" applyFill="1" applyBorder="1"/>
    <xf numFmtId="3" fontId="13" fillId="65" borderId="122" xfId="253" applyNumberFormat="1" applyFont="1" applyFill="1" applyBorder="1"/>
    <xf numFmtId="3" fontId="13" fillId="64" borderId="122" xfId="253" applyNumberFormat="1" applyFont="1" applyFill="1" applyBorder="1"/>
    <xf numFmtId="166" fontId="13" fillId="66" borderId="123" xfId="253" applyNumberFormat="1" applyFont="1" applyFill="1" applyBorder="1"/>
    <xf numFmtId="166" fontId="13" fillId="66" borderId="108" xfId="253" applyNumberFormat="1" applyFont="1" applyFill="1" applyBorder="1" applyAlignment="1">
      <alignment wrapText="1"/>
    </xf>
    <xf numFmtId="3" fontId="13" fillId="67" borderId="104" xfId="253" applyNumberFormat="1" applyFont="1" applyFill="1" applyBorder="1"/>
    <xf numFmtId="166" fontId="13" fillId="66" borderId="114" xfId="253" applyNumberFormat="1" applyFont="1" applyFill="1" applyBorder="1"/>
    <xf numFmtId="3" fontId="13" fillId="67" borderId="111" xfId="253" applyNumberFormat="1" applyFont="1" applyFill="1" applyBorder="1"/>
    <xf numFmtId="3" fontId="13" fillId="0" borderId="115" xfId="253" applyNumberFormat="1" applyFont="1" applyBorder="1" applyAlignment="1">
      <alignment horizontal="right"/>
    </xf>
    <xf numFmtId="178" fontId="56" fillId="0" borderId="0" xfId="253" applyNumberFormat="1"/>
    <xf numFmtId="166" fontId="13" fillId="66" borderId="126" xfId="253" applyNumberFormat="1" applyFont="1" applyFill="1" applyBorder="1"/>
    <xf numFmtId="3" fontId="13" fillId="67" borderId="125" xfId="253" applyNumberFormat="1" applyFont="1" applyFill="1" applyBorder="1"/>
    <xf numFmtId="3" fontId="13" fillId="0" borderId="127" xfId="253" applyNumberFormat="1" applyFont="1" applyBorder="1" applyAlignment="1">
      <alignment horizontal="right"/>
    </xf>
    <xf numFmtId="3" fontId="13" fillId="67" borderId="128" xfId="253" applyNumberFormat="1" applyFont="1" applyFill="1" applyBorder="1"/>
    <xf numFmtId="3" fontId="13" fillId="0" borderId="129" xfId="253" applyNumberFormat="1" applyFont="1" applyBorder="1" applyAlignment="1">
      <alignment horizontal="right"/>
    </xf>
    <xf numFmtId="3" fontId="18" fillId="0" borderId="0" xfId="253" applyNumberFormat="1" applyFont="1" applyAlignment="1">
      <alignment horizontal="center"/>
    </xf>
    <xf numFmtId="166" fontId="18" fillId="0" borderId="0" xfId="253" applyNumberFormat="1" applyFont="1" applyAlignment="1">
      <alignment horizontal="center"/>
    </xf>
    <xf numFmtId="3" fontId="13" fillId="0" borderId="0" xfId="253" applyNumberFormat="1" applyFont="1" applyAlignment="1">
      <alignment horizontal="center"/>
    </xf>
    <xf numFmtId="166" fontId="13" fillId="66" borderId="109" xfId="253" applyNumberFormat="1" applyFont="1" applyFill="1" applyBorder="1"/>
    <xf numFmtId="166" fontId="13" fillId="66" borderId="115" xfId="253" applyNumberFormat="1" applyFont="1" applyFill="1" applyBorder="1"/>
    <xf numFmtId="166" fontId="13" fillId="66" borderId="132" xfId="253" applyNumberFormat="1" applyFont="1" applyFill="1" applyBorder="1"/>
    <xf numFmtId="166" fontId="13" fillId="66" borderId="129" xfId="253" applyNumberFormat="1" applyFont="1" applyFill="1" applyBorder="1"/>
    <xf numFmtId="166" fontId="13" fillId="66" borderId="104" xfId="253" applyNumberFormat="1" applyFont="1" applyFill="1" applyBorder="1"/>
    <xf numFmtId="166" fontId="13" fillId="66" borderId="125" xfId="253" applyNumberFormat="1" applyFont="1" applyFill="1" applyBorder="1"/>
    <xf numFmtId="166" fontId="13" fillId="66" borderId="128" xfId="253" applyNumberFormat="1" applyFont="1" applyFill="1" applyBorder="1"/>
    <xf numFmtId="166" fontId="13" fillId="67" borderId="128" xfId="253" applyNumberFormat="1" applyFont="1" applyFill="1" applyBorder="1"/>
    <xf numFmtId="0" fontId="18" fillId="62" borderId="0" xfId="253" applyFont="1" applyFill="1" applyAlignment="1">
      <alignment horizontal="center"/>
    </xf>
    <xf numFmtId="166" fontId="18" fillId="62" borderId="0" xfId="253" applyNumberFormat="1" applyFont="1" applyFill="1" applyAlignment="1">
      <alignment horizontal="center"/>
    </xf>
    <xf numFmtId="3" fontId="18" fillId="62" borderId="0" xfId="253" applyNumberFormat="1" applyFont="1" applyFill="1"/>
    <xf numFmtId="0" fontId="16" fillId="0" borderId="0" xfId="253" applyFont="1" applyAlignment="1">
      <alignment horizontal="center"/>
    </xf>
    <xf numFmtId="0" fontId="18" fillId="0" borderId="0" xfId="253" applyFont="1" applyAlignment="1">
      <alignment horizontal="center" readingOrder="2"/>
    </xf>
    <xf numFmtId="166" fontId="76" fillId="0" borderId="0" xfId="253" applyNumberFormat="1" applyFont="1" applyAlignment="1"/>
    <xf numFmtId="0" fontId="18" fillId="63" borderId="134" xfId="253" applyFont="1" applyFill="1" applyBorder="1" applyAlignment="1">
      <alignment horizontal="center" wrapText="1"/>
    </xf>
    <xf numFmtId="3" fontId="13" fillId="65" borderId="135" xfId="253" applyNumberFormat="1" applyFont="1" applyFill="1" applyBorder="1"/>
    <xf numFmtId="3" fontId="13" fillId="65" borderId="136" xfId="253" applyNumberFormat="1" applyFont="1" applyFill="1" applyBorder="1"/>
    <xf numFmtId="3" fontId="13" fillId="65" borderId="137" xfId="253" applyNumberFormat="1" applyFont="1" applyFill="1" applyBorder="1"/>
    <xf numFmtId="166" fontId="18" fillId="63" borderId="138" xfId="253" applyNumberFormat="1" applyFont="1" applyFill="1" applyBorder="1" applyAlignment="1">
      <alignment horizontal="center" wrapText="1"/>
    </xf>
    <xf numFmtId="166" fontId="18" fillId="63" borderId="95" xfId="253" applyNumberFormat="1" applyFont="1" applyFill="1" applyBorder="1" applyAlignment="1">
      <alignment horizontal="center" wrapText="1"/>
    </xf>
    <xf numFmtId="3" fontId="56" fillId="0" borderId="0" xfId="253" applyNumberFormat="1"/>
    <xf numFmtId="164" fontId="56" fillId="0" borderId="0" xfId="1" applyFont="1"/>
    <xf numFmtId="166" fontId="105" fillId="0" borderId="0" xfId="253" applyNumberFormat="1" applyFont="1"/>
    <xf numFmtId="0" fontId="95" fillId="0" borderId="0" xfId="253" applyFont="1" applyAlignment="1">
      <alignment horizontal="center"/>
    </xf>
    <xf numFmtId="0" fontId="96" fillId="0" borderId="0" xfId="253" applyFont="1" applyAlignment="1">
      <alignment horizontal="center"/>
    </xf>
    <xf numFmtId="0" fontId="96" fillId="56" borderId="0" xfId="253" applyFont="1" applyFill="1" applyAlignment="1">
      <alignment horizontal="center"/>
    </xf>
    <xf numFmtId="0" fontId="98" fillId="57" borderId="0" xfId="253" applyFont="1" applyFill="1" applyAlignment="1">
      <alignment horizontal="center"/>
    </xf>
    <xf numFmtId="0" fontId="56" fillId="0" borderId="0" xfId="253" applyAlignment="1">
      <alignment horizontal="center"/>
    </xf>
    <xf numFmtId="0" fontId="98" fillId="3" borderId="0" xfId="253" applyFont="1" applyFill="1" applyAlignment="1">
      <alignment horizontal="center"/>
    </xf>
    <xf numFmtId="0" fontId="94" fillId="0" borderId="0" xfId="253" applyFont="1"/>
    <xf numFmtId="0" fontId="98" fillId="0" borderId="0" xfId="253" applyFont="1"/>
    <xf numFmtId="0" fontId="99" fillId="0" borderId="0" xfId="253" applyFont="1"/>
    <xf numFmtId="0" fontId="98" fillId="8" borderId="0" xfId="253" applyFont="1" applyFill="1"/>
    <xf numFmtId="0" fontId="56" fillId="0" borderId="0" xfId="253" applyAlignment="1">
      <alignment horizontal="left"/>
    </xf>
    <xf numFmtId="0" fontId="106" fillId="0" borderId="0" xfId="0" applyFont="1" applyAlignment="1" applyProtection="1">
      <alignment horizontal="center"/>
      <protection locked="0"/>
    </xf>
    <xf numFmtId="0" fontId="74" fillId="0" borderId="0" xfId="0" applyFont="1" applyAlignment="1" applyProtection="1">
      <alignment horizontal="center" readingOrder="1"/>
      <protection locked="0"/>
    </xf>
    <xf numFmtId="0" fontId="17" fillId="4" borderId="0" xfId="0" applyFont="1" applyFill="1" applyBorder="1" applyAlignment="1" applyProtection="1">
      <alignment horizontal="left" readingOrder="1"/>
      <protection locked="0"/>
    </xf>
    <xf numFmtId="179" fontId="0" fillId="0" borderId="0" xfId="1" applyNumberFormat="1" applyFont="1"/>
    <xf numFmtId="179" fontId="0" fillId="0" borderId="0" xfId="1" applyNumberFormat="1" applyFont="1" applyAlignment="1">
      <alignment horizontal="center"/>
    </xf>
    <xf numFmtId="0" fontId="18" fillId="56" borderId="15" xfId="0" applyFont="1" applyFill="1" applyBorder="1" applyAlignment="1">
      <alignment horizontal="center" wrapText="1"/>
    </xf>
    <xf numFmtId="0" fontId="0" fillId="0" borderId="35" xfId="0" applyBorder="1" applyAlignment="1">
      <alignment horizontal="center"/>
    </xf>
    <xf numFmtId="179" fontId="0" fillId="0" borderId="34" xfId="1" applyNumberFormat="1" applyFont="1" applyBorder="1"/>
    <xf numFmtId="179" fontId="0" fillId="0" borderId="0" xfId="1" applyNumberFormat="1" applyFont="1" applyBorder="1"/>
    <xf numFmtId="179" fontId="0" fillId="0" borderId="35" xfId="1" applyNumberFormat="1" applyFont="1" applyBorder="1" applyAlignment="1">
      <alignment horizontal="center"/>
    </xf>
    <xf numFmtId="179" fontId="0" fillId="0" borderId="35" xfId="1" applyNumberFormat="1" applyFont="1" applyBorder="1"/>
    <xf numFmtId="179" fontId="18" fillId="0" borderId="36" xfId="1" applyNumberFormat="1" applyFont="1" applyBorder="1"/>
    <xf numFmtId="179" fontId="18" fillId="0" borderId="37" xfId="1" applyNumberFormat="1" applyFont="1" applyBorder="1"/>
    <xf numFmtId="179" fontId="18" fillId="0" borderId="38" xfId="1" applyNumberFormat="1" applyFont="1" applyBorder="1"/>
    <xf numFmtId="0" fontId="0" fillId="0" borderId="34" xfId="0" applyBorder="1" applyAlignment="1">
      <alignment horizontal="center"/>
    </xf>
    <xf numFmtId="179" fontId="0" fillId="0" borderId="34" xfId="1" applyNumberFormat="1" applyFont="1" applyBorder="1" applyAlignment="1">
      <alignment horizontal="center"/>
    </xf>
    <xf numFmtId="179" fontId="56" fillId="0" borderId="0" xfId="1" applyNumberFormat="1" applyFont="1"/>
    <xf numFmtId="179" fontId="95" fillId="0" borderId="0" xfId="1" applyNumberFormat="1" applyFont="1" applyAlignment="1">
      <alignment horizontal="center"/>
    </xf>
    <xf numFmtId="3" fontId="96" fillId="0" borderId="0" xfId="253" applyNumberFormat="1" applyFont="1" applyAlignment="1">
      <alignment horizontal="center"/>
    </xf>
    <xf numFmtId="3" fontId="96" fillId="56" borderId="0" xfId="253" applyNumberFormat="1" applyFont="1" applyFill="1" applyAlignment="1">
      <alignment horizontal="center"/>
    </xf>
    <xf numFmtId="3" fontId="95" fillId="0" borderId="0" xfId="1" applyNumberFormat="1" applyFont="1" applyAlignment="1">
      <alignment horizontal="center"/>
    </xf>
    <xf numFmtId="3" fontId="95" fillId="0" borderId="0" xfId="253" applyNumberFormat="1" applyFont="1" applyAlignment="1">
      <alignment horizontal="center"/>
    </xf>
    <xf numFmtId="3" fontId="98" fillId="57" borderId="0" xfId="1" applyNumberFormat="1" applyFont="1" applyFill="1" applyAlignment="1">
      <alignment horizontal="center"/>
    </xf>
    <xf numFmtId="3" fontId="98" fillId="57" borderId="0" xfId="253" applyNumberFormat="1" applyFont="1" applyFill="1" applyAlignment="1">
      <alignment horizontal="center"/>
    </xf>
    <xf numFmtId="3" fontId="98" fillId="0" borderId="0" xfId="253" applyNumberFormat="1" applyFont="1" applyAlignment="1">
      <alignment horizontal="center"/>
    </xf>
    <xf numFmtId="3" fontId="56" fillId="0" borderId="0" xfId="1" applyNumberFormat="1" applyFont="1" applyAlignment="1">
      <alignment horizontal="center"/>
    </xf>
    <xf numFmtId="3" fontId="56" fillId="0" borderId="0" xfId="253" applyNumberFormat="1" applyAlignment="1">
      <alignment horizontal="center"/>
    </xf>
    <xf numFmtId="3" fontId="18" fillId="3" borderId="0" xfId="253" applyNumberFormat="1" applyFont="1" applyFill="1" applyAlignment="1">
      <alignment horizontal="center"/>
    </xf>
    <xf numFmtId="3" fontId="0" fillId="0" borderId="0" xfId="247" applyNumberFormat="1" applyFont="1" applyAlignment="1"/>
    <xf numFmtId="3" fontId="0" fillId="56" borderId="0" xfId="247" applyNumberFormat="1" applyFont="1" applyFill="1" applyAlignment="1"/>
    <xf numFmtId="3" fontId="56" fillId="0" borderId="0" xfId="1" applyNumberFormat="1" applyFont="1"/>
    <xf numFmtId="3" fontId="0" fillId="0" borderId="6" xfId="247" applyNumberFormat="1" applyFont="1" applyBorder="1" applyAlignment="1"/>
    <xf numFmtId="3" fontId="0" fillId="56" borderId="6" xfId="247" applyNumberFormat="1" applyFont="1" applyFill="1" applyBorder="1" applyAlignment="1"/>
    <xf numFmtId="3" fontId="98" fillId="0" borderId="0" xfId="247" applyNumberFormat="1" applyFont="1" applyAlignment="1"/>
    <xf numFmtId="3" fontId="98" fillId="56" borderId="0" xfId="247" applyNumberFormat="1" applyFont="1" applyFill="1" applyAlignment="1"/>
    <xf numFmtId="3" fontId="107" fillId="0" borderId="0" xfId="247" applyNumberFormat="1" applyFont="1" applyAlignment="1"/>
    <xf numFmtId="3" fontId="107" fillId="56" borderId="0" xfId="247" applyNumberFormat="1" applyFont="1" applyFill="1" applyAlignment="1"/>
    <xf numFmtId="3" fontId="107" fillId="8" borderId="6" xfId="247" applyNumberFormat="1" applyFont="1" applyFill="1" applyBorder="1" applyAlignment="1"/>
    <xf numFmtId="3" fontId="98" fillId="57" borderId="0" xfId="253" applyNumberFormat="1" applyFont="1" applyFill="1" applyAlignment="1">
      <alignment horizontal="right"/>
    </xf>
    <xf numFmtId="3" fontId="0" fillId="0" borderId="0" xfId="247" applyNumberFormat="1" applyFont="1" applyAlignment="1">
      <alignment horizontal="center"/>
    </xf>
    <xf numFmtId="0" fontId="0" fillId="0" borderId="89" xfId="0" applyBorder="1"/>
    <xf numFmtId="179" fontId="0" fillId="0" borderId="89" xfId="1" applyNumberFormat="1" applyFont="1" applyBorder="1"/>
    <xf numFmtId="179" fontId="0" fillId="0" borderId="88" xfId="1" applyNumberFormat="1" applyFont="1" applyBorder="1"/>
    <xf numFmtId="179" fontId="18" fillId="0" borderId="47" xfId="1" applyNumberFormat="1" applyFont="1" applyBorder="1"/>
    <xf numFmtId="0" fontId="74" fillId="0" borderId="0" xfId="0" applyFont="1" applyAlignment="1">
      <alignment horizontal="center"/>
    </xf>
    <xf numFmtId="176" fontId="97" fillId="0" borderId="0" xfId="253" applyNumberFormat="1" applyFont="1"/>
    <xf numFmtId="177" fontId="97" fillId="0" borderId="0" xfId="252" applyNumberFormat="1" applyFont="1"/>
    <xf numFmtId="0" fontId="30" fillId="0" borderId="42" xfId="0" applyFont="1" applyBorder="1" applyAlignment="1">
      <alignment horizontal="center"/>
    </xf>
    <xf numFmtId="177" fontId="0" fillId="0" borderId="55" xfId="0" applyNumberFormat="1" applyBorder="1"/>
    <xf numFmtId="177" fontId="0" fillId="0" borderId="43" xfId="0" applyNumberFormat="1" applyBorder="1"/>
    <xf numFmtId="0" fontId="30" fillId="0" borderId="22" xfId="0" applyFont="1" applyBorder="1" applyAlignment="1">
      <alignment horizontal="center"/>
    </xf>
    <xf numFmtId="177" fontId="0" fillId="0" borderId="6" xfId="0" applyNumberFormat="1" applyBorder="1"/>
    <xf numFmtId="177" fontId="0" fillId="0" borderId="23" xfId="0" applyNumberFormat="1" applyBorder="1"/>
    <xf numFmtId="177" fontId="0" fillId="0" borderId="32" xfId="1" applyNumberFormat="1" applyFont="1" applyBorder="1"/>
    <xf numFmtId="177" fontId="0" fillId="0" borderId="16" xfId="1" applyNumberFormat="1" applyFont="1" applyBorder="1"/>
    <xf numFmtId="0" fontId="99" fillId="0" borderId="0" xfId="0" applyFont="1"/>
    <xf numFmtId="0" fontId="16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177" fontId="84" fillId="0" borderId="0" xfId="252" applyNumberFormat="1" applyFont="1"/>
    <xf numFmtId="0" fontId="72" fillId="0" borderId="16" xfId="0" applyFont="1" applyBorder="1" applyProtection="1">
      <protection locked="0"/>
    </xf>
    <xf numFmtId="0" fontId="72" fillId="0" borderId="32" xfId="0" applyFont="1" applyFill="1" applyBorder="1" applyAlignment="1" applyProtection="1">
      <alignment horizontal="center" wrapText="1"/>
      <protection locked="0"/>
    </xf>
    <xf numFmtId="0" fontId="72" fillId="0" borderId="16" xfId="0" applyFont="1" applyFill="1" applyBorder="1" applyAlignment="1" applyProtection="1">
      <alignment horizontal="center" wrapText="1"/>
      <protection locked="0"/>
    </xf>
    <xf numFmtId="9" fontId="72" fillId="0" borderId="16" xfId="0" applyNumberFormat="1" applyFont="1" applyBorder="1" applyAlignment="1" applyProtection="1">
      <alignment horizontal="center" wrapText="1"/>
      <protection locked="0"/>
    </xf>
    <xf numFmtId="166" fontId="72" fillId="0" borderId="16" xfId="1" applyNumberFormat="1" applyFont="1" applyBorder="1" applyAlignment="1" applyProtection="1">
      <alignment horizontal="center" wrapText="1"/>
      <protection locked="0"/>
    </xf>
    <xf numFmtId="0" fontId="72" fillId="0" borderId="16" xfId="0" applyFont="1" applyFill="1" applyBorder="1" applyAlignment="1" applyProtection="1">
      <alignment horizontal="center"/>
      <protection locked="0"/>
    </xf>
    <xf numFmtId="166" fontId="72" fillId="0" borderId="16" xfId="0" applyNumberFormat="1" applyFont="1" applyFill="1" applyBorder="1" applyProtection="1">
      <protection locked="0"/>
    </xf>
    <xf numFmtId="166" fontId="72" fillId="0" borderId="33" xfId="1" applyNumberFormat="1" applyFont="1" applyBorder="1" applyAlignment="1" applyProtection="1">
      <alignment horizontal="center" wrapText="1"/>
      <protection locked="0"/>
    </xf>
    <xf numFmtId="0" fontId="99" fillId="0" borderId="98" xfId="253" applyFont="1" applyBorder="1" applyAlignment="1" applyProtection="1">
      <alignment horizontal="center"/>
      <protection locked="0"/>
    </xf>
    <xf numFmtId="0" fontId="72" fillId="0" borderId="104" xfId="253" applyFont="1" applyBorder="1" applyAlignment="1" applyProtection="1">
      <alignment horizontal="center"/>
      <protection locked="0"/>
    </xf>
    <xf numFmtId="0" fontId="13" fillId="0" borderId="0" xfId="253" applyFont="1" applyAlignment="1" applyProtection="1">
      <alignment horizontal="center"/>
      <protection locked="0"/>
    </xf>
    <xf numFmtId="166" fontId="72" fillId="56" borderId="106" xfId="253" applyNumberFormat="1" applyFont="1" applyFill="1" applyBorder="1" applyAlignment="1" applyProtection="1">
      <alignment horizontal="center"/>
      <protection locked="0"/>
    </xf>
    <xf numFmtId="166" fontId="72" fillId="56" borderId="105" xfId="253" applyNumberFormat="1" applyFont="1" applyFill="1" applyBorder="1" applyAlignment="1" applyProtection="1">
      <alignment horizontal="center"/>
      <protection locked="0"/>
    </xf>
    <xf numFmtId="166" fontId="72" fillId="58" borderId="108" xfId="253" applyNumberFormat="1" applyFont="1" applyFill="1" applyBorder="1" applyAlignment="1" applyProtection="1">
      <alignment horizontal="center"/>
      <protection locked="0"/>
    </xf>
    <xf numFmtId="166" fontId="72" fillId="58" borderId="105" xfId="253" applyNumberFormat="1" applyFont="1" applyFill="1" applyBorder="1" applyAlignment="1" applyProtection="1">
      <alignment horizontal="center"/>
      <protection locked="0"/>
    </xf>
    <xf numFmtId="166" fontId="72" fillId="56" borderId="108" xfId="253" applyNumberFormat="1" applyFont="1" applyFill="1" applyBorder="1" applyAlignment="1" applyProtection="1">
      <alignment horizontal="center"/>
      <protection locked="0"/>
    </xf>
    <xf numFmtId="166" fontId="72" fillId="56" borderId="104" xfId="253" applyNumberFormat="1" applyFont="1" applyFill="1" applyBorder="1" applyAlignment="1" applyProtection="1">
      <alignment horizontal="center"/>
      <protection locked="0"/>
    </xf>
    <xf numFmtId="0" fontId="99" fillId="0" borderId="110" xfId="253" applyFont="1" applyBorder="1" applyAlignment="1" applyProtection="1">
      <alignment horizontal="center"/>
      <protection locked="0"/>
    </xf>
    <xf numFmtId="0" fontId="72" fillId="0" borderId="111" xfId="253" applyFont="1" applyBorder="1" applyAlignment="1" applyProtection="1">
      <alignment horizontal="center"/>
      <protection locked="0"/>
    </xf>
    <xf numFmtId="166" fontId="72" fillId="56" borderId="113" xfId="253" applyNumberFormat="1" applyFont="1" applyFill="1" applyBorder="1" applyAlignment="1" applyProtection="1">
      <alignment horizontal="center"/>
      <protection locked="0"/>
    </xf>
    <xf numFmtId="166" fontId="72" fillId="56" borderId="112" xfId="253" applyNumberFormat="1" applyFont="1" applyFill="1" applyBorder="1" applyAlignment="1" applyProtection="1">
      <alignment horizontal="center"/>
      <protection locked="0"/>
    </xf>
    <xf numFmtId="166" fontId="72" fillId="58" borderId="114" xfId="253" applyNumberFormat="1" applyFont="1" applyFill="1" applyBorder="1" applyAlignment="1" applyProtection="1">
      <alignment horizontal="center"/>
      <protection locked="0"/>
    </xf>
    <xf numFmtId="166" fontId="72" fillId="58" borderId="112" xfId="253" applyNumberFormat="1" applyFont="1" applyFill="1" applyBorder="1" applyAlignment="1" applyProtection="1">
      <alignment horizontal="center"/>
      <protection locked="0"/>
    </xf>
    <xf numFmtId="166" fontId="72" fillId="56" borderId="114" xfId="253" applyNumberFormat="1" applyFont="1" applyFill="1" applyBorder="1" applyAlignment="1" applyProtection="1">
      <alignment horizontal="center"/>
      <protection locked="0"/>
    </xf>
    <xf numFmtId="166" fontId="72" fillId="56" borderId="111" xfId="253" applyNumberFormat="1" applyFont="1" applyFill="1" applyBorder="1" applyAlignment="1" applyProtection="1">
      <alignment horizontal="center"/>
      <protection locked="0"/>
    </xf>
    <xf numFmtId="0" fontId="99" fillId="0" borderId="117" xfId="253" applyFont="1" applyBorder="1" applyAlignment="1" applyProtection="1">
      <alignment horizontal="center"/>
      <protection locked="0"/>
    </xf>
    <xf numFmtId="0" fontId="72" fillId="0" borderId="118" xfId="253" applyFont="1" applyBorder="1" applyAlignment="1" applyProtection="1">
      <alignment horizontal="center"/>
      <protection locked="0"/>
    </xf>
    <xf numFmtId="166" fontId="72" fillId="56" borderId="120" xfId="253" applyNumberFormat="1" applyFont="1" applyFill="1" applyBorder="1" applyAlignment="1" applyProtection="1">
      <alignment horizontal="center"/>
      <protection locked="0"/>
    </xf>
    <xf numFmtId="167" fontId="72" fillId="56" borderId="119" xfId="253" applyNumberFormat="1" applyFont="1" applyFill="1" applyBorder="1" applyAlignment="1" applyProtection="1">
      <alignment horizontal="center"/>
      <protection locked="0"/>
    </xf>
    <xf numFmtId="167" fontId="72" fillId="58" borderId="139" xfId="253" applyNumberFormat="1" applyFont="1" applyFill="1" applyBorder="1" applyAlignment="1" applyProtection="1">
      <alignment horizontal="center"/>
      <protection locked="0"/>
    </xf>
    <xf numFmtId="167" fontId="72" fillId="58" borderId="119" xfId="253" applyNumberFormat="1" applyFont="1" applyFill="1" applyBorder="1" applyAlignment="1" applyProtection="1">
      <alignment horizontal="center"/>
      <protection locked="0"/>
    </xf>
    <xf numFmtId="167" fontId="72" fillId="56" borderId="139" xfId="253" applyNumberFormat="1" applyFont="1" applyFill="1" applyBorder="1" applyAlignment="1" applyProtection="1">
      <alignment horizontal="center"/>
      <protection locked="0"/>
    </xf>
    <xf numFmtId="166" fontId="72" fillId="56" borderId="118" xfId="253" applyNumberFormat="1" applyFont="1" applyFill="1" applyBorder="1" applyAlignment="1" applyProtection="1">
      <alignment horizontal="center"/>
      <protection locked="0"/>
    </xf>
    <xf numFmtId="0" fontId="99" fillId="0" borderId="0" xfId="253" applyFont="1" applyAlignment="1" applyProtection="1">
      <alignment horizontal="center"/>
      <protection locked="0"/>
    </xf>
    <xf numFmtId="0" fontId="72" fillId="0" borderId="0" xfId="253" applyFont="1" applyAlignment="1" applyProtection="1">
      <alignment horizontal="center"/>
      <protection locked="0"/>
    </xf>
    <xf numFmtId="166" fontId="13" fillId="0" borderId="0" xfId="253" applyNumberFormat="1" applyFont="1" applyAlignment="1" applyProtection="1">
      <alignment horizontal="center"/>
      <protection locked="0"/>
    </xf>
    <xf numFmtId="0" fontId="99" fillId="0" borderId="95" xfId="253" applyFont="1" applyBorder="1" applyAlignment="1" applyProtection="1">
      <alignment horizontal="center"/>
      <protection locked="0"/>
    </xf>
    <xf numFmtId="0" fontId="72" fillId="0" borderId="122" xfId="253" applyFont="1" applyBorder="1" applyAlignment="1" applyProtection="1">
      <alignment horizontal="center"/>
      <protection locked="0"/>
    </xf>
    <xf numFmtId="166" fontId="72" fillId="56" borderId="124" xfId="253" applyNumberFormat="1" applyFont="1" applyFill="1" applyBorder="1" applyAlignment="1" applyProtection="1">
      <alignment horizontal="center"/>
      <protection locked="0"/>
    </xf>
    <xf numFmtId="166" fontId="72" fillId="56" borderId="123" xfId="253" applyNumberFormat="1" applyFont="1" applyFill="1" applyBorder="1" applyAlignment="1" applyProtection="1">
      <alignment horizontal="center"/>
      <protection locked="0"/>
    </xf>
    <xf numFmtId="166" fontId="72" fillId="58" borderId="124" xfId="253" applyNumberFormat="1" applyFont="1" applyFill="1" applyBorder="1" applyAlignment="1" applyProtection="1">
      <alignment horizontal="center"/>
      <protection locked="0"/>
    </xf>
    <xf numFmtId="166" fontId="72" fillId="58" borderId="123" xfId="253" applyNumberFormat="1" applyFont="1" applyFill="1" applyBorder="1" applyAlignment="1" applyProtection="1">
      <alignment horizontal="center"/>
      <protection locked="0"/>
    </xf>
    <xf numFmtId="166" fontId="72" fillId="56" borderId="140" xfId="253" applyNumberFormat="1" applyFont="1" applyFill="1" applyBorder="1" applyAlignment="1" applyProtection="1">
      <alignment horizontal="center"/>
      <protection locked="0"/>
    </xf>
    <xf numFmtId="166" fontId="72" fillId="58" borderId="140" xfId="253" applyNumberFormat="1" applyFont="1" applyFill="1" applyBorder="1" applyAlignment="1" applyProtection="1">
      <alignment horizontal="center"/>
      <protection locked="0"/>
    </xf>
    <xf numFmtId="166" fontId="72" fillId="56" borderId="122" xfId="253" applyNumberFormat="1" applyFont="1" applyFill="1" applyBorder="1" applyAlignment="1" applyProtection="1">
      <alignment horizontal="center"/>
      <protection locked="0"/>
    </xf>
    <xf numFmtId="166" fontId="72" fillId="58" borderId="113" xfId="253" applyNumberFormat="1" applyFont="1" applyFill="1" applyBorder="1" applyAlignment="1" applyProtection="1">
      <alignment horizontal="center"/>
      <protection locked="0"/>
    </xf>
    <xf numFmtId="0" fontId="72" fillId="0" borderId="125" xfId="253" applyFont="1" applyBorder="1" applyAlignment="1" applyProtection="1">
      <alignment horizontal="center"/>
      <protection locked="0"/>
    </xf>
    <xf numFmtId="166" fontId="72" fillId="56" borderId="119" xfId="253" applyNumberFormat="1" applyFont="1" applyFill="1" applyBorder="1" applyAlignment="1" applyProtection="1">
      <alignment horizontal="center"/>
      <protection locked="0"/>
    </xf>
    <xf numFmtId="166" fontId="72" fillId="58" borderId="120" xfId="253" applyNumberFormat="1" applyFont="1" applyFill="1" applyBorder="1" applyAlignment="1" applyProtection="1">
      <alignment horizontal="center"/>
      <protection locked="0"/>
    </xf>
    <xf numFmtId="166" fontId="72" fillId="58" borderId="119" xfId="253" applyNumberFormat="1" applyFont="1" applyFill="1" applyBorder="1" applyAlignment="1" applyProtection="1">
      <alignment horizontal="center"/>
      <protection locked="0"/>
    </xf>
    <xf numFmtId="166" fontId="72" fillId="56" borderId="139" xfId="253" applyNumberFormat="1" applyFont="1" applyFill="1" applyBorder="1" applyAlignment="1" applyProtection="1">
      <alignment horizontal="center"/>
      <protection locked="0"/>
    </xf>
    <xf numFmtId="166" fontId="72" fillId="58" borderId="139" xfId="253" applyNumberFormat="1" applyFont="1" applyFill="1" applyBorder="1" applyAlignment="1" applyProtection="1">
      <alignment horizontal="center"/>
      <protection locked="0"/>
    </xf>
    <xf numFmtId="166" fontId="72" fillId="58" borderId="122" xfId="253" applyNumberFormat="1" applyFont="1" applyFill="1" applyBorder="1" applyAlignment="1" applyProtection="1">
      <alignment horizontal="center"/>
      <protection locked="0"/>
    </xf>
    <xf numFmtId="166" fontId="72" fillId="58" borderId="111" xfId="253" applyNumberFormat="1" applyFont="1" applyFill="1" applyBorder="1" applyAlignment="1" applyProtection="1">
      <alignment horizontal="center"/>
      <protection locked="0"/>
    </xf>
    <xf numFmtId="166" fontId="72" fillId="58" borderId="118" xfId="253" applyNumberFormat="1" applyFont="1" applyFill="1" applyBorder="1" applyAlignment="1" applyProtection="1">
      <alignment horizontal="center"/>
      <protection locked="0"/>
    </xf>
    <xf numFmtId="0" fontId="99" fillId="0" borderId="130" xfId="253" applyFont="1" applyBorder="1" applyAlignment="1" applyProtection="1">
      <alignment horizontal="center" wrapText="1"/>
      <protection locked="0"/>
    </xf>
    <xf numFmtId="0" fontId="72" fillId="0" borderId="108" xfId="253" applyFont="1" applyBorder="1" applyAlignment="1" applyProtection="1">
      <alignment horizontal="center"/>
      <protection locked="0"/>
    </xf>
    <xf numFmtId="0" fontId="99" fillId="0" borderId="131" xfId="253" applyFont="1" applyBorder="1" applyAlignment="1" applyProtection="1">
      <alignment horizontal="center" wrapText="1"/>
      <protection locked="0"/>
    </xf>
    <xf numFmtId="0" fontId="72" fillId="0" borderId="132" xfId="253" applyFont="1" applyBorder="1" applyAlignment="1" applyProtection="1">
      <alignment horizontal="center"/>
      <protection locked="0"/>
    </xf>
    <xf numFmtId="0" fontId="99" fillId="0" borderId="131" xfId="253" applyFont="1" applyBorder="1" applyAlignment="1" applyProtection="1">
      <alignment horizontal="center"/>
      <protection locked="0"/>
    </xf>
    <xf numFmtId="0" fontId="72" fillId="0" borderId="114" xfId="253" applyFont="1" applyBorder="1" applyAlignment="1" applyProtection="1">
      <alignment horizontal="center"/>
      <protection locked="0"/>
    </xf>
    <xf numFmtId="0" fontId="99" fillId="0" borderId="133" xfId="253" applyFont="1" applyBorder="1" applyAlignment="1" applyProtection="1">
      <alignment horizontal="center"/>
      <protection locked="0"/>
    </xf>
    <xf numFmtId="0" fontId="72" fillId="0" borderId="121" xfId="253" applyFont="1" applyBorder="1" applyAlignment="1" applyProtection="1">
      <alignment horizontal="center"/>
      <protection locked="0"/>
    </xf>
    <xf numFmtId="0" fontId="99" fillId="0" borderId="130" xfId="253" applyFont="1" applyBorder="1" applyAlignment="1" applyProtection="1">
      <alignment horizontal="center"/>
      <protection locked="0"/>
    </xf>
    <xf numFmtId="0" fontId="72" fillId="0" borderId="126" xfId="253" applyFont="1" applyBorder="1" applyAlignment="1" applyProtection="1">
      <alignment horizontal="center"/>
      <protection locked="0"/>
    </xf>
    <xf numFmtId="166" fontId="13" fillId="0" borderId="126" xfId="253" applyNumberFormat="1" applyFont="1" applyBorder="1" applyAlignment="1" applyProtection="1">
      <alignment horizontal="center"/>
      <protection locked="0"/>
    </xf>
    <xf numFmtId="0" fontId="18" fillId="0" borderId="133" xfId="253" applyFont="1" applyBorder="1" applyAlignment="1" applyProtection="1">
      <alignment horizontal="center"/>
      <protection locked="0"/>
    </xf>
    <xf numFmtId="0" fontId="13" fillId="0" borderId="121" xfId="253" applyFont="1" applyBorder="1" applyAlignment="1" applyProtection="1">
      <alignment horizontal="center"/>
      <protection locked="0"/>
    </xf>
    <xf numFmtId="179" fontId="72" fillId="0" borderId="34" xfId="1" applyNumberFormat="1" applyFont="1" applyBorder="1" applyProtection="1">
      <protection locked="0"/>
    </xf>
    <xf numFmtId="179" fontId="72" fillId="0" borderId="0" xfId="1" applyNumberFormat="1" applyFont="1" applyBorder="1" applyProtection="1">
      <protection locked="0"/>
    </xf>
    <xf numFmtId="179" fontId="72" fillId="0" borderId="35" xfId="1" applyNumberFormat="1" applyFont="1" applyBorder="1" applyProtection="1">
      <protection locked="0"/>
    </xf>
    <xf numFmtId="179" fontId="72" fillId="0" borderId="35" xfId="1" applyNumberFormat="1" applyFont="1" applyBorder="1" applyAlignment="1" applyProtection="1">
      <alignment horizontal="center"/>
      <protection locked="0"/>
    </xf>
    <xf numFmtId="179" fontId="72" fillId="0" borderId="34" xfId="1" applyNumberFormat="1" applyFont="1" applyBorder="1" applyAlignment="1" applyProtection="1">
      <alignment horizontal="center"/>
      <protection locked="0"/>
    </xf>
    <xf numFmtId="179" fontId="72" fillId="0" borderId="39" xfId="1" applyNumberFormat="1" applyFont="1" applyBorder="1" applyProtection="1">
      <protection locked="0"/>
    </xf>
    <xf numFmtId="179" fontId="72" fillId="0" borderId="6" xfId="1" applyNumberFormat="1" applyFont="1" applyBorder="1" applyProtection="1">
      <protection locked="0"/>
    </xf>
    <xf numFmtId="179" fontId="72" fillId="0" borderId="40" xfId="1" applyNumberFormat="1" applyFont="1" applyBorder="1" applyAlignment="1" applyProtection="1">
      <alignment horizontal="center"/>
      <protection locked="0"/>
    </xf>
    <xf numFmtId="179" fontId="72" fillId="0" borderId="39" xfId="1" applyNumberFormat="1" applyFont="1" applyBorder="1" applyAlignment="1" applyProtection="1">
      <alignment horizontal="center"/>
      <protection locked="0"/>
    </xf>
    <xf numFmtId="179" fontId="72" fillId="0" borderId="40" xfId="1" applyNumberFormat="1" applyFont="1" applyBorder="1" applyProtection="1">
      <protection locked="0"/>
    </xf>
    <xf numFmtId="3" fontId="72" fillId="3" borderId="0" xfId="247" applyNumberFormat="1" applyFont="1" applyFill="1" applyAlignment="1" applyProtection="1">
      <alignment horizontal="center"/>
      <protection locked="0"/>
    </xf>
    <xf numFmtId="3" fontId="72" fillId="3" borderId="0" xfId="253" applyNumberFormat="1" applyFont="1" applyFill="1" applyAlignment="1" applyProtection="1">
      <alignment horizontal="center"/>
      <protection locked="0"/>
    </xf>
    <xf numFmtId="3" fontId="99" fillId="57" borderId="0" xfId="1" applyNumberFormat="1" applyFont="1" applyFill="1" applyAlignment="1" applyProtection="1">
      <alignment horizontal="center"/>
      <protection locked="0"/>
    </xf>
    <xf numFmtId="3" fontId="72" fillId="0" borderId="0" xfId="247" applyNumberFormat="1" applyFont="1" applyAlignment="1" applyProtection="1">
      <protection locked="0"/>
    </xf>
    <xf numFmtId="3" fontId="72" fillId="0" borderId="6" xfId="247" applyNumberFormat="1" applyFont="1" applyBorder="1" applyAlignment="1" applyProtection="1">
      <protection locked="0"/>
    </xf>
    <xf numFmtId="0" fontId="16" fillId="0" borderId="0" xfId="0" applyFont="1" applyAlignment="1">
      <alignment horizontal="center"/>
    </xf>
    <xf numFmtId="0" fontId="14" fillId="2" borderId="12" xfId="0" applyFont="1" applyFill="1" applyBorder="1" applyAlignment="1" applyProtection="1">
      <alignment horizontal="center" readingOrder="1"/>
      <protection locked="0"/>
    </xf>
    <xf numFmtId="0" fontId="14" fillId="2" borderId="13" xfId="0" applyFont="1" applyFill="1" applyBorder="1" applyAlignment="1" applyProtection="1">
      <alignment horizontal="center" readingOrder="1"/>
      <protection locked="0"/>
    </xf>
    <xf numFmtId="0" fontId="14" fillId="2" borderId="14" xfId="0" applyFont="1" applyFill="1" applyBorder="1" applyAlignment="1" applyProtection="1">
      <alignment horizontal="center" readingOrder="1"/>
      <protection locked="0"/>
    </xf>
    <xf numFmtId="0" fontId="60" fillId="8" borderId="7" xfId="0" applyFont="1" applyFill="1" applyBorder="1" applyAlignment="1" applyProtection="1">
      <alignment horizontal="center" readingOrder="1"/>
      <protection locked="0"/>
    </xf>
    <xf numFmtId="0" fontId="60" fillId="8" borderId="8" xfId="0" applyFont="1" applyFill="1" applyBorder="1" applyAlignment="1" applyProtection="1">
      <alignment horizontal="center" readingOrder="1"/>
      <protection locked="0"/>
    </xf>
    <xf numFmtId="0" fontId="60" fillId="8" borderId="9" xfId="0" applyFont="1" applyFill="1" applyBorder="1" applyAlignment="1" applyProtection="1">
      <alignment horizontal="center" readingOrder="1"/>
      <protection locked="0"/>
    </xf>
    <xf numFmtId="0" fontId="94" fillId="0" borderId="0" xfId="253" applyFont="1" applyAlignment="1">
      <alignment horizontal="center"/>
    </xf>
    <xf numFmtId="0" fontId="0" fillId="51" borderId="12" xfId="0" applyFill="1" applyBorder="1" applyAlignment="1" applyProtection="1">
      <alignment horizontal="center"/>
      <protection locked="0"/>
    </xf>
    <xf numFmtId="0" fontId="0" fillId="51" borderId="13" xfId="0" applyFill="1" applyBorder="1" applyAlignment="1" applyProtection="1">
      <alignment horizontal="center"/>
      <protection locked="0"/>
    </xf>
    <xf numFmtId="0" fontId="0" fillId="51" borderId="14" xfId="0" applyFill="1" applyBorder="1" applyAlignment="1" applyProtection="1">
      <alignment horizontal="center"/>
      <protection locked="0"/>
    </xf>
    <xf numFmtId="0" fontId="106" fillId="0" borderId="0" xfId="0" applyFont="1" applyAlignment="1" applyProtection="1">
      <alignment horizontal="center"/>
      <protection locked="0"/>
    </xf>
    <xf numFmtId="0" fontId="18" fillId="56" borderId="12" xfId="253" applyFont="1" applyFill="1" applyBorder="1" applyAlignment="1">
      <alignment horizontal="center"/>
    </xf>
    <xf numFmtId="0" fontId="18" fillId="56" borderId="13" xfId="253" applyFont="1" applyFill="1" applyBorder="1" applyAlignment="1">
      <alignment horizontal="center"/>
    </xf>
    <xf numFmtId="0" fontId="18" fillId="56" borderId="14" xfId="253" applyFont="1" applyFill="1" applyBorder="1" applyAlignment="1">
      <alignment horizontal="center"/>
    </xf>
    <xf numFmtId="166" fontId="18" fillId="11" borderId="18" xfId="253" applyNumberFormat="1" applyFont="1" applyFill="1" applyBorder="1" applyAlignment="1" applyProtection="1">
      <alignment horizontal="center" wrapText="1"/>
      <protection locked="0"/>
    </xf>
    <xf numFmtId="166" fontId="18" fillId="11" borderId="19" xfId="253" applyNumberFormat="1" applyFont="1" applyFill="1" applyBorder="1" applyAlignment="1" applyProtection="1">
      <alignment horizontal="center" wrapText="1"/>
      <protection locked="0"/>
    </xf>
    <xf numFmtId="166" fontId="18" fillId="11" borderId="18" xfId="253" applyNumberFormat="1" applyFont="1" applyFill="1" applyBorder="1" applyAlignment="1">
      <alignment horizontal="center" wrapText="1"/>
    </xf>
    <xf numFmtId="166" fontId="18" fillId="11" borderId="19" xfId="253" applyNumberFormat="1" applyFont="1" applyFill="1" applyBorder="1" applyAlignment="1">
      <alignment horizontal="center" wrapText="1"/>
    </xf>
    <xf numFmtId="0" fontId="18" fillId="62" borderId="92" xfId="253" applyFont="1" applyFill="1" applyBorder="1" applyAlignment="1">
      <alignment horizontal="center" wrapText="1"/>
    </xf>
    <xf numFmtId="0" fontId="18" fillId="0" borderId="93" xfId="253" applyFont="1" applyBorder="1"/>
    <xf numFmtId="0" fontId="18" fillId="0" borderId="94" xfId="253" applyFont="1" applyBorder="1"/>
    <xf numFmtId="166" fontId="18" fillId="11" borderId="17" xfId="253" applyNumberFormat="1" applyFont="1" applyFill="1" applyBorder="1" applyAlignment="1" applyProtection="1">
      <alignment horizontal="center" wrapText="1"/>
      <protection locked="0"/>
    </xf>
    <xf numFmtId="166" fontId="18" fillId="11" borderId="13" xfId="253" applyNumberFormat="1" applyFont="1" applyFill="1" applyBorder="1" applyAlignment="1" applyProtection="1">
      <alignment horizontal="center" wrapText="1"/>
      <protection locked="0"/>
    </xf>
    <xf numFmtId="166" fontId="18" fillId="11" borderId="14" xfId="253" applyNumberFormat="1" applyFont="1" applyFill="1" applyBorder="1" applyAlignment="1" applyProtection="1">
      <alignment horizontal="center" wrapText="1"/>
      <protection locked="0"/>
    </xf>
    <xf numFmtId="166" fontId="18" fillId="11" borderId="17" xfId="253" applyNumberFormat="1" applyFont="1" applyFill="1" applyBorder="1" applyAlignment="1">
      <alignment horizontal="center" wrapText="1"/>
    </xf>
    <xf numFmtId="166" fontId="18" fillId="11" borderId="13" xfId="253" applyNumberFormat="1" applyFont="1" applyFill="1" applyBorder="1" applyAlignment="1">
      <alignment horizontal="center" wrapText="1"/>
    </xf>
    <xf numFmtId="166" fontId="18" fillId="11" borderId="14" xfId="253" applyNumberFormat="1" applyFont="1" applyFill="1" applyBorder="1" applyAlignment="1">
      <alignment horizontal="center" wrapText="1"/>
    </xf>
    <xf numFmtId="0" fontId="102" fillId="56" borderId="12" xfId="249" applyFont="1" applyFill="1" applyBorder="1" applyAlignment="1">
      <alignment horizontal="center" readingOrder="1"/>
    </xf>
    <xf numFmtId="0" fontId="102" fillId="56" borderId="13" xfId="249" applyFont="1" applyFill="1" applyBorder="1" applyAlignment="1">
      <alignment horizontal="center" readingOrder="1"/>
    </xf>
    <xf numFmtId="0" fontId="98" fillId="60" borderId="10" xfId="249" applyFont="1" applyFill="1" applyBorder="1" applyAlignment="1">
      <alignment horizontal="center"/>
    </xf>
    <xf numFmtId="0" fontId="101" fillId="0" borderId="0" xfId="249" applyFont="1" applyAlignment="1">
      <alignment horizontal="center" vertical="center" readingOrder="1"/>
    </xf>
    <xf numFmtId="172" fontId="0" fillId="6" borderId="12" xfId="0" applyNumberFormat="1" applyFill="1" applyBorder="1" applyAlignment="1">
      <alignment horizontal="center" wrapText="1"/>
    </xf>
    <xf numFmtId="172" fontId="0" fillId="6" borderId="14" xfId="0" applyNumberFormat="1" applyFill="1" applyBorder="1" applyAlignment="1">
      <alignment horizontal="center" wrapText="1"/>
    </xf>
    <xf numFmtId="172" fontId="0" fillId="3" borderId="12" xfId="0" applyNumberFormat="1" applyFill="1" applyBorder="1" applyAlignment="1">
      <alignment horizontal="center"/>
    </xf>
    <xf numFmtId="172" fontId="0" fillId="3" borderId="14" xfId="0" applyNumberFormat="1" applyFill="1" applyBorder="1" applyAlignment="1">
      <alignment horizontal="center"/>
    </xf>
    <xf numFmtId="0" fontId="1" fillId="52" borderId="12" xfId="51" applyFont="1" applyFill="1" applyBorder="1" applyAlignment="1">
      <alignment horizontal="center" wrapText="1"/>
    </xf>
    <xf numFmtId="0" fontId="1" fillId="52" borderId="13" xfId="51" applyFont="1" applyFill="1" applyBorder="1" applyAlignment="1">
      <alignment horizontal="center" wrapText="1"/>
    </xf>
    <xf numFmtId="0" fontId="1" fillId="52" borderId="14" xfId="51" applyFont="1" applyFill="1" applyBorder="1" applyAlignment="1">
      <alignment horizontal="center" wrapText="1"/>
    </xf>
    <xf numFmtId="0" fontId="1" fillId="9" borderId="12" xfId="51" applyFont="1" applyFill="1" applyBorder="1" applyAlignment="1">
      <alignment horizontal="center" wrapText="1"/>
    </xf>
    <xf numFmtId="0" fontId="1" fillId="9" borderId="13" xfId="51" applyFont="1" applyFill="1" applyBorder="1" applyAlignment="1">
      <alignment horizontal="center" wrapText="1"/>
    </xf>
    <xf numFmtId="0" fontId="1" fillId="9" borderId="14" xfId="51" applyFont="1" applyFill="1" applyBorder="1" applyAlignment="1">
      <alignment horizontal="center" wrapText="1"/>
    </xf>
    <xf numFmtId="0" fontId="37" fillId="19" borderId="77" xfId="0" applyFont="1" applyFill="1" applyBorder="1" applyAlignment="1">
      <alignment horizontal="center" vertical="center"/>
    </xf>
    <xf numFmtId="0" fontId="37" fillId="19" borderId="76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/>
    </xf>
    <xf numFmtId="14" fontId="36" fillId="0" borderId="73" xfId="0" applyNumberFormat="1" applyFont="1" applyFill="1" applyBorder="1" applyAlignment="1">
      <alignment horizontal="left"/>
    </xf>
    <xf numFmtId="0" fontId="18" fillId="4" borderId="12" xfId="0" applyFont="1" applyFill="1" applyBorder="1" applyAlignment="1">
      <alignment horizontal="center" wrapText="1"/>
    </xf>
    <xf numFmtId="0" fontId="18" fillId="4" borderId="13" xfId="0" applyFont="1" applyFill="1" applyBorder="1" applyAlignment="1">
      <alignment horizontal="center" wrapText="1"/>
    </xf>
    <xf numFmtId="0" fontId="18" fillId="4" borderId="14" xfId="0" applyFont="1" applyFill="1" applyBorder="1" applyAlignment="1">
      <alignment horizontal="center" wrapText="1"/>
    </xf>
    <xf numFmtId="0" fontId="50" fillId="58" borderId="29" xfId="0" applyFont="1" applyFill="1" applyBorder="1" applyAlignment="1">
      <alignment horizontal="center"/>
    </xf>
    <xf numFmtId="0" fontId="50" fillId="58" borderId="30" xfId="0" applyFont="1" applyFill="1" applyBorder="1" applyAlignment="1">
      <alignment horizontal="center"/>
    </xf>
    <xf numFmtId="0" fontId="50" fillId="58" borderId="31" xfId="0" applyFont="1" applyFill="1" applyBorder="1" applyAlignment="1">
      <alignment horizontal="center"/>
    </xf>
    <xf numFmtId="0" fontId="50" fillId="7" borderId="16" xfId="0" applyFont="1" applyFill="1" applyBorder="1" applyAlignment="1">
      <alignment horizontal="center"/>
    </xf>
    <xf numFmtId="0" fontId="58" fillId="9" borderId="20" xfId="0" applyFont="1" applyFill="1" applyBorder="1" applyAlignment="1">
      <alignment horizontal="center"/>
    </xf>
    <xf numFmtId="0" fontId="58" fillId="9" borderId="44" xfId="0" applyFont="1" applyFill="1" applyBorder="1" applyAlignment="1">
      <alignment horizontal="center"/>
    </xf>
    <xf numFmtId="0" fontId="58" fillId="9" borderId="21" xfId="0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8" fillId="3" borderId="17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8" fillId="8" borderId="28" xfId="0" applyFon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254">
    <cellStyle name="20% - Accent1" xfId="22" builtinId="30" customBuiltin="1"/>
    <cellStyle name="20% - Accent1 2" xfId="58" xr:uid="{00000000-0005-0000-0000-000001000000}"/>
    <cellStyle name="20% - Accent1 2 2" xfId="80" xr:uid="{00000000-0005-0000-0000-000002000000}"/>
    <cellStyle name="20% - Accent1 2 2 2" xfId="156" xr:uid="{00000000-0005-0000-0000-000003000000}"/>
    <cellStyle name="20% - Accent1 2 3" xfId="155" xr:uid="{00000000-0005-0000-0000-000004000000}"/>
    <cellStyle name="20% - Accent1 3" xfId="110" xr:uid="{00000000-0005-0000-0000-000005000000}"/>
    <cellStyle name="20% - Accent1 3 2" xfId="157" xr:uid="{00000000-0005-0000-0000-000006000000}"/>
    <cellStyle name="20% - Accent1 4" xfId="124" xr:uid="{00000000-0005-0000-0000-000007000000}"/>
    <cellStyle name="20% - Accent1 4 2" xfId="158" xr:uid="{00000000-0005-0000-0000-000008000000}"/>
    <cellStyle name="20% - Accent2" xfId="26" builtinId="34" customBuiltin="1"/>
    <cellStyle name="20% - Accent2 2" xfId="60" xr:uid="{00000000-0005-0000-0000-00000A000000}"/>
    <cellStyle name="20% - Accent2 2 2" xfId="81" xr:uid="{00000000-0005-0000-0000-00000B000000}"/>
    <cellStyle name="20% - Accent2 2 2 2" xfId="160" xr:uid="{00000000-0005-0000-0000-00000C000000}"/>
    <cellStyle name="20% - Accent2 2 3" xfId="159" xr:uid="{00000000-0005-0000-0000-00000D000000}"/>
    <cellStyle name="20% - Accent2 3" xfId="112" xr:uid="{00000000-0005-0000-0000-00000E000000}"/>
    <cellStyle name="20% - Accent2 3 2" xfId="161" xr:uid="{00000000-0005-0000-0000-00000F000000}"/>
    <cellStyle name="20% - Accent2 4" xfId="126" xr:uid="{00000000-0005-0000-0000-000010000000}"/>
    <cellStyle name="20% - Accent2 4 2" xfId="162" xr:uid="{00000000-0005-0000-0000-000011000000}"/>
    <cellStyle name="20% - Accent3" xfId="30" builtinId="38" customBuiltin="1"/>
    <cellStyle name="20% - Accent3 2" xfId="62" xr:uid="{00000000-0005-0000-0000-000013000000}"/>
    <cellStyle name="20% - Accent3 2 2" xfId="82" xr:uid="{00000000-0005-0000-0000-000014000000}"/>
    <cellStyle name="20% - Accent3 2 2 2" xfId="164" xr:uid="{00000000-0005-0000-0000-000015000000}"/>
    <cellStyle name="20% - Accent3 2 3" xfId="163" xr:uid="{00000000-0005-0000-0000-000016000000}"/>
    <cellStyle name="20% - Accent3 3" xfId="114" xr:uid="{00000000-0005-0000-0000-000017000000}"/>
    <cellStyle name="20% - Accent3 3 2" xfId="165" xr:uid="{00000000-0005-0000-0000-000018000000}"/>
    <cellStyle name="20% - Accent3 4" xfId="128" xr:uid="{00000000-0005-0000-0000-000019000000}"/>
    <cellStyle name="20% - Accent3 4 2" xfId="166" xr:uid="{00000000-0005-0000-0000-00001A000000}"/>
    <cellStyle name="20% - Accent4" xfId="34" builtinId="42" customBuiltin="1"/>
    <cellStyle name="20% - Accent4 2" xfId="64" xr:uid="{00000000-0005-0000-0000-00001C000000}"/>
    <cellStyle name="20% - Accent4 2 2" xfId="83" xr:uid="{00000000-0005-0000-0000-00001D000000}"/>
    <cellStyle name="20% - Accent4 2 2 2" xfId="168" xr:uid="{00000000-0005-0000-0000-00001E000000}"/>
    <cellStyle name="20% - Accent4 2 3" xfId="167" xr:uid="{00000000-0005-0000-0000-00001F000000}"/>
    <cellStyle name="20% - Accent4 3" xfId="116" xr:uid="{00000000-0005-0000-0000-000020000000}"/>
    <cellStyle name="20% - Accent4 3 2" xfId="169" xr:uid="{00000000-0005-0000-0000-000021000000}"/>
    <cellStyle name="20% - Accent4 4" xfId="130" xr:uid="{00000000-0005-0000-0000-000022000000}"/>
    <cellStyle name="20% - Accent4 4 2" xfId="170" xr:uid="{00000000-0005-0000-0000-000023000000}"/>
    <cellStyle name="20% - Accent5" xfId="38" builtinId="46" customBuiltin="1"/>
    <cellStyle name="20% - Accent5 2" xfId="66" xr:uid="{00000000-0005-0000-0000-000025000000}"/>
    <cellStyle name="20% - Accent5 2 2" xfId="84" xr:uid="{00000000-0005-0000-0000-000026000000}"/>
    <cellStyle name="20% - Accent5 2 2 2" xfId="172" xr:uid="{00000000-0005-0000-0000-000027000000}"/>
    <cellStyle name="20% - Accent5 2 3" xfId="171" xr:uid="{00000000-0005-0000-0000-000028000000}"/>
    <cellStyle name="20% - Accent5 3" xfId="118" xr:uid="{00000000-0005-0000-0000-000029000000}"/>
    <cellStyle name="20% - Accent5 3 2" xfId="173" xr:uid="{00000000-0005-0000-0000-00002A000000}"/>
    <cellStyle name="20% - Accent5 4" xfId="132" xr:uid="{00000000-0005-0000-0000-00002B000000}"/>
    <cellStyle name="20% - Accent5 4 2" xfId="174" xr:uid="{00000000-0005-0000-0000-00002C000000}"/>
    <cellStyle name="20% - Accent6" xfId="42" builtinId="50" customBuiltin="1"/>
    <cellStyle name="20% - Accent6 2" xfId="68" xr:uid="{00000000-0005-0000-0000-00002E000000}"/>
    <cellStyle name="20% - Accent6 2 2" xfId="85" xr:uid="{00000000-0005-0000-0000-00002F000000}"/>
    <cellStyle name="20% - Accent6 2 2 2" xfId="176" xr:uid="{00000000-0005-0000-0000-000030000000}"/>
    <cellStyle name="20% - Accent6 2 3" xfId="175" xr:uid="{00000000-0005-0000-0000-000031000000}"/>
    <cellStyle name="20% - Accent6 3" xfId="120" xr:uid="{00000000-0005-0000-0000-000032000000}"/>
    <cellStyle name="20% - Accent6 3 2" xfId="177" xr:uid="{00000000-0005-0000-0000-000033000000}"/>
    <cellStyle name="20% - Accent6 4" xfId="134" xr:uid="{00000000-0005-0000-0000-000034000000}"/>
    <cellStyle name="20% - Accent6 4 2" xfId="178" xr:uid="{00000000-0005-0000-0000-000035000000}"/>
    <cellStyle name="40% - Accent1" xfId="23" builtinId="31" customBuiltin="1"/>
    <cellStyle name="40% - Accent1 2" xfId="59" xr:uid="{00000000-0005-0000-0000-000037000000}"/>
    <cellStyle name="40% - Accent1 2 2" xfId="86" xr:uid="{00000000-0005-0000-0000-000038000000}"/>
    <cellStyle name="40% - Accent1 2 2 2" xfId="180" xr:uid="{00000000-0005-0000-0000-000039000000}"/>
    <cellStyle name="40% - Accent1 2 3" xfId="179" xr:uid="{00000000-0005-0000-0000-00003A000000}"/>
    <cellStyle name="40% - Accent1 3" xfId="111" xr:uid="{00000000-0005-0000-0000-00003B000000}"/>
    <cellStyle name="40% - Accent1 3 2" xfId="181" xr:uid="{00000000-0005-0000-0000-00003C000000}"/>
    <cellStyle name="40% - Accent1 4" xfId="125" xr:uid="{00000000-0005-0000-0000-00003D000000}"/>
    <cellStyle name="40% - Accent1 4 2" xfId="182" xr:uid="{00000000-0005-0000-0000-00003E000000}"/>
    <cellStyle name="40% - Accent2" xfId="27" builtinId="35" customBuiltin="1"/>
    <cellStyle name="40% - Accent2 2" xfId="61" xr:uid="{00000000-0005-0000-0000-000040000000}"/>
    <cellStyle name="40% - Accent2 2 2" xfId="87" xr:uid="{00000000-0005-0000-0000-000041000000}"/>
    <cellStyle name="40% - Accent2 2 2 2" xfId="184" xr:uid="{00000000-0005-0000-0000-000042000000}"/>
    <cellStyle name="40% - Accent2 2 3" xfId="183" xr:uid="{00000000-0005-0000-0000-000043000000}"/>
    <cellStyle name="40% - Accent2 3" xfId="113" xr:uid="{00000000-0005-0000-0000-000044000000}"/>
    <cellStyle name="40% - Accent2 3 2" xfId="185" xr:uid="{00000000-0005-0000-0000-000045000000}"/>
    <cellStyle name="40% - Accent2 4" xfId="127" xr:uid="{00000000-0005-0000-0000-000046000000}"/>
    <cellStyle name="40% - Accent2 4 2" xfId="186" xr:uid="{00000000-0005-0000-0000-000047000000}"/>
    <cellStyle name="40% - Accent3" xfId="31" builtinId="39" customBuiltin="1"/>
    <cellStyle name="40% - Accent3 2" xfId="63" xr:uid="{00000000-0005-0000-0000-000049000000}"/>
    <cellStyle name="40% - Accent3 2 2" xfId="88" xr:uid="{00000000-0005-0000-0000-00004A000000}"/>
    <cellStyle name="40% - Accent3 2 2 2" xfId="188" xr:uid="{00000000-0005-0000-0000-00004B000000}"/>
    <cellStyle name="40% - Accent3 2 3" xfId="187" xr:uid="{00000000-0005-0000-0000-00004C000000}"/>
    <cellStyle name="40% - Accent3 3" xfId="115" xr:uid="{00000000-0005-0000-0000-00004D000000}"/>
    <cellStyle name="40% - Accent3 3 2" xfId="189" xr:uid="{00000000-0005-0000-0000-00004E000000}"/>
    <cellStyle name="40% - Accent3 4" xfId="129" xr:uid="{00000000-0005-0000-0000-00004F000000}"/>
    <cellStyle name="40% - Accent3 4 2" xfId="190" xr:uid="{00000000-0005-0000-0000-000050000000}"/>
    <cellStyle name="40% - Accent4" xfId="35" builtinId="43" customBuiltin="1"/>
    <cellStyle name="40% - Accent4 2" xfId="65" xr:uid="{00000000-0005-0000-0000-000052000000}"/>
    <cellStyle name="40% - Accent4 2 2" xfId="89" xr:uid="{00000000-0005-0000-0000-000053000000}"/>
    <cellStyle name="40% - Accent4 2 2 2" xfId="192" xr:uid="{00000000-0005-0000-0000-000054000000}"/>
    <cellStyle name="40% - Accent4 2 3" xfId="191" xr:uid="{00000000-0005-0000-0000-000055000000}"/>
    <cellStyle name="40% - Accent4 3" xfId="117" xr:uid="{00000000-0005-0000-0000-000056000000}"/>
    <cellStyle name="40% - Accent4 3 2" xfId="193" xr:uid="{00000000-0005-0000-0000-000057000000}"/>
    <cellStyle name="40% - Accent4 4" xfId="131" xr:uid="{00000000-0005-0000-0000-000058000000}"/>
    <cellStyle name="40% - Accent4 4 2" xfId="194" xr:uid="{00000000-0005-0000-0000-000059000000}"/>
    <cellStyle name="40% - Accent5" xfId="39" builtinId="47" customBuiltin="1"/>
    <cellStyle name="40% - Accent5 2" xfId="67" xr:uid="{00000000-0005-0000-0000-00005B000000}"/>
    <cellStyle name="40% - Accent5 2 2" xfId="90" xr:uid="{00000000-0005-0000-0000-00005C000000}"/>
    <cellStyle name="40% - Accent5 2 2 2" xfId="196" xr:uid="{00000000-0005-0000-0000-00005D000000}"/>
    <cellStyle name="40% - Accent5 2 3" xfId="195" xr:uid="{00000000-0005-0000-0000-00005E000000}"/>
    <cellStyle name="40% - Accent5 3" xfId="119" xr:uid="{00000000-0005-0000-0000-00005F000000}"/>
    <cellStyle name="40% - Accent5 3 2" xfId="197" xr:uid="{00000000-0005-0000-0000-000060000000}"/>
    <cellStyle name="40% - Accent5 4" xfId="133" xr:uid="{00000000-0005-0000-0000-000061000000}"/>
    <cellStyle name="40% - Accent5 4 2" xfId="198" xr:uid="{00000000-0005-0000-0000-000062000000}"/>
    <cellStyle name="40% - Accent6" xfId="43" builtinId="51" customBuiltin="1"/>
    <cellStyle name="40% - Accent6 2" xfId="69" xr:uid="{00000000-0005-0000-0000-000064000000}"/>
    <cellStyle name="40% - Accent6 2 2" xfId="91" xr:uid="{00000000-0005-0000-0000-000065000000}"/>
    <cellStyle name="40% - Accent6 2 2 2" xfId="200" xr:uid="{00000000-0005-0000-0000-000066000000}"/>
    <cellStyle name="40% - Accent6 2 3" xfId="199" xr:uid="{00000000-0005-0000-0000-000067000000}"/>
    <cellStyle name="40% - Accent6 3" xfId="121" xr:uid="{00000000-0005-0000-0000-000068000000}"/>
    <cellStyle name="40% - Accent6 3 2" xfId="201" xr:uid="{00000000-0005-0000-0000-000069000000}"/>
    <cellStyle name="40% - Accent6 4" xfId="135" xr:uid="{00000000-0005-0000-0000-00006A000000}"/>
    <cellStyle name="40% - Accent6 4 2" xfId="202" xr:uid="{00000000-0005-0000-0000-00006B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omma 10" xfId="247" xr:uid="{E3B74F93-C24A-4FF4-9B8F-4F6704D1E973}"/>
    <cellStyle name="Comma 2" xfId="4" xr:uid="{00000000-0005-0000-0000-00007C000000}"/>
    <cellStyle name="Comma 2 2" xfId="57" xr:uid="{00000000-0005-0000-0000-00007D000000}"/>
    <cellStyle name="Comma 2 3" xfId="78" xr:uid="{00000000-0005-0000-0000-00007E000000}"/>
    <cellStyle name="Comma 2 3 2" xfId="92" xr:uid="{00000000-0005-0000-0000-00007F000000}"/>
    <cellStyle name="Comma 2 3 2 2" xfId="204" xr:uid="{00000000-0005-0000-0000-000080000000}"/>
    <cellStyle name="Comma 2 3 3" xfId="203" xr:uid="{00000000-0005-0000-0000-000081000000}"/>
    <cellStyle name="Comma 2 4" xfId="144" xr:uid="{00000000-0005-0000-0000-000082000000}"/>
    <cellStyle name="Comma 2 4 2" xfId="205" xr:uid="{00000000-0005-0000-0000-000083000000}"/>
    <cellStyle name="Comma 2 5" xfId="149" xr:uid="{00000000-0005-0000-0000-000084000000}"/>
    <cellStyle name="Comma 2 6" xfId="250" xr:uid="{ED158088-060D-40DD-8770-A21FB9F89088}"/>
    <cellStyle name="Comma 3" xfId="52" xr:uid="{00000000-0005-0000-0000-000085000000}"/>
    <cellStyle name="Comma 3 2" xfId="73" xr:uid="{00000000-0005-0000-0000-000086000000}"/>
    <cellStyle name="Comma 3 2 2" xfId="94" xr:uid="{00000000-0005-0000-0000-000087000000}"/>
    <cellStyle name="Comma 3 2 2 2" xfId="208" xr:uid="{00000000-0005-0000-0000-000088000000}"/>
    <cellStyle name="Comma 3 2 3" xfId="207" xr:uid="{00000000-0005-0000-0000-000089000000}"/>
    <cellStyle name="Comma 3 3" xfId="93" xr:uid="{00000000-0005-0000-0000-00008A000000}"/>
    <cellStyle name="Comma 3 3 2" xfId="209" xr:uid="{00000000-0005-0000-0000-00008B000000}"/>
    <cellStyle name="Comma 3 4" xfId="206" xr:uid="{00000000-0005-0000-0000-00008C000000}"/>
    <cellStyle name="Comma 3 5" xfId="248" xr:uid="{56A195A7-F71F-4A31-B9BB-8640DE8E05A8}"/>
    <cellStyle name="Comma 4" xfId="54" xr:uid="{00000000-0005-0000-0000-00008D000000}"/>
    <cellStyle name="Comma 4 2" xfId="75" xr:uid="{00000000-0005-0000-0000-00008E000000}"/>
    <cellStyle name="Comma 4 2 2" xfId="96" xr:uid="{00000000-0005-0000-0000-00008F000000}"/>
    <cellStyle name="Comma 4 2 2 2" xfId="211" xr:uid="{00000000-0005-0000-0000-000090000000}"/>
    <cellStyle name="Comma 4 2 3" xfId="210" xr:uid="{00000000-0005-0000-0000-000091000000}"/>
    <cellStyle name="Comma 4 3" xfId="95" xr:uid="{00000000-0005-0000-0000-000092000000}"/>
    <cellStyle name="Comma 4 3 2" xfId="212" xr:uid="{00000000-0005-0000-0000-000093000000}"/>
    <cellStyle name="Comma 4 4" xfId="154" xr:uid="{00000000-0005-0000-0000-000094000000}"/>
    <cellStyle name="Comma 5" xfId="136" xr:uid="{00000000-0005-0000-0000-000095000000}"/>
    <cellStyle name="Comma 5 2" xfId="213" xr:uid="{00000000-0005-0000-0000-000096000000}"/>
    <cellStyle name="Comma 6" xfId="138" xr:uid="{00000000-0005-0000-0000-000097000000}"/>
    <cellStyle name="Comma 6 2" xfId="151" xr:uid="{00000000-0005-0000-0000-000098000000}"/>
    <cellStyle name="Comma 7" xfId="141" xr:uid="{00000000-0005-0000-0000-000099000000}"/>
    <cellStyle name="Comma 7 2" xfId="214" xr:uid="{00000000-0005-0000-0000-00009A000000}"/>
    <cellStyle name="Comma 8" xfId="146" xr:uid="{00000000-0005-0000-0000-00009B000000}"/>
    <cellStyle name="Comma 9" xfId="236" xr:uid="{00000000-0005-0000-0000-00009C000000}"/>
    <cellStyle name="Currency" xfId="252" builtinId="4"/>
    <cellStyle name="Explanatory Text" xfId="19" builtinId="53" customBuiltin="1"/>
    <cellStyle name="Followed Hyperlink" xfId="48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7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243" xr:uid="{00000000-0005-0000-0000-0000A9000000}"/>
    <cellStyle name="Normal 11" xfId="246" xr:uid="{92D62BA1-2A15-4CBB-B9F5-1732118DE580}"/>
    <cellStyle name="Normal 11 2" xfId="253" xr:uid="{EB94F44E-433E-4BDB-BF80-0C772B69C7EF}"/>
    <cellStyle name="Normal 2" xfId="3" xr:uid="{00000000-0005-0000-0000-0000AA000000}"/>
    <cellStyle name="Normal 2 2" xfId="55" xr:uid="{00000000-0005-0000-0000-0000AB000000}"/>
    <cellStyle name="Normal 2 2 2" xfId="76" xr:uid="{00000000-0005-0000-0000-0000AC000000}"/>
    <cellStyle name="Normal 2 2 2 2" xfId="98" xr:uid="{00000000-0005-0000-0000-0000AD000000}"/>
    <cellStyle name="Normal 2 2 2 2 2" xfId="216" xr:uid="{00000000-0005-0000-0000-0000AE000000}"/>
    <cellStyle name="Normal 2 2 2 3" xfId="215" xr:uid="{00000000-0005-0000-0000-0000AF000000}"/>
    <cellStyle name="Normal 2 2 3" xfId="97" xr:uid="{00000000-0005-0000-0000-0000B0000000}"/>
    <cellStyle name="Normal 2 2 3 2" xfId="217" xr:uid="{00000000-0005-0000-0000-0000B1000000}"/>
    <cellStyle name="Normal 2 2 4" xfId="153" xr:uid="{00000000-0005-0000-0000-0000B2000000}"/>
    <cellStyle name="Normal 2 3" xfId="56" xr:uid="{00000000-0005-0000-0000-0000B3000000}"/>
    <cellStyle name="Normal 2 4" xfId="139" xr:uid="{00000000-0005-0000-0000-0000B4000000}"/>
    <cellStyle name="Normal 2 4 2" xfId="152" xr:uid="{00000000-0005-0000-0000-0000B5000000}"/>
    <cellStyle name="Normal 2 5" xfId="143" xr:uid="{00000000-0005-0000-0000-0000B6000000}"/>
    <cellStyle name="Normal 2 5 2" xfId="218" xr:uid="{00000000-0005-0000-0000-0000B7000000}"/>
    <cellStyle name="Normal 2 6" xfId="148" xr:uid="{00000000-0005-0000-0000-0000B8000000}"/>
    <cellStyle name="Normal 2 7" xfId="249" xr:uid="{C4E1CF8F-CB38-4FBA-A98A-418288B72310}"/>
    <cellStyle name="Normal 3" xfId="45" xr:uid="{00000000-0005-0000-0000-0000B9000000}"/>
    <cellStyle name="Normal 3 2" xfId="70" xr:uid="{00000000-0005-0000-0000-0000BA000000}"/>
    <cellStyle name="Normal 3 2 2" xfId="100" xr:uid="{00000000-0005-0000-0000-0000BB000000}"/>
    <cellStyle name="Normal 3 2 2 2" xfId="221" xr:uid="{00000000-0005-0000-0000-0000BC000000}"/>
    <cellStyle name="Normal 3 2 3" xfId="220" xr:uid="{00000000-0005-0000-0000-0000BD000000}"/>
    <cellStyle name="Normal 3 3" xfId="99" xr:uid="{00000000-0005-0000-0000-0000BE000000}"/>
    <cellStyle name="Normal 3 3 2" xfId="222" xr:uid="{00000000-0005-0000-0000-0000BF000000}"/>
    <cellStyle name="Normal 3 4" xfId="219" xr:uid="{00000000-0005-0000-0000-0000C0000000}"/>
    <cellStyle name="Normal 4" xfId="49" xr:uid="{00000000-0005-0000-0000-0000C1000000}"/>
    <cellStyle name="Normal 5" xfId="51" xr:uid="{00000000-0005-0000-0000-0000C2000000}"/>
    <cellStyle name="Normal 5 2" xfId="72" xr:uid="{00000000-0005-0000-0000-0000C3000000}"/>
    <cellStyle name="Normal 5 2 2" xfId="102" xr:uid="{00000000-0005-0000-0000-0000C4000000}"/>
    <cellStyle name="Normal 5 2 2 2" xfId="225" xr:uid="{00000000-0005-0000-0000-0000C5000000}"/>
    <cellStyle name="Normal 5 2 3" xfId="224" xr:uid="{00000000-0005-0000-0000-0000C6000000}"/>
    <cellStyle name="Normal 5 3" xfId="101" xr:uid="{00000000-0005-0000-0000-0000C7000000}"/>
    <cellStyle name="Normal 5 3 2" xfId="226" xr:uid="{00000000-0005-0000-0000-0000C8000000}"/>
    <cellStyle name="Normal 5 4" xfId="223" xr:uid="{00000000-0005-0000-0000-0000C9000000}"/>
    <cellStyle name="Normal 6" xfId="108" xr:uid="{00000000-0005-0000-0000-0000CA000000}"/>
    <cellStyle name="Normal 6 2" xfId="227" xr:uid="{00000000-0005-0000-0000-0000CB000000}"/>
    <cellStyle name="Normal 7" xfId="122" xr:uid="{00000000-0005-0000-0000-0000CC000000}"/>
    <cellStyle name="Normal 7 2" xfId="228" xr:uid="{00000000-0005-0000-0000-0000CD000000}"/>
    <cellStyle name="Normal 8" xfId="140" xr:uid="{00000000-0005-0000-0000-0000CE000000}"/>
    <cellStyle name="Normal 8 2" xfId="229" xr:uid="{00000000-0005-0000-0000-0000CF000000}"/>
    <cellStyle name="Normal 9" xfId="145" xr:uid="{00000000-0005-0000-0000-0000D0000000}"/>
    <cellStyle name="Note 2" xfId="46" xr:uid="{00000000-0005-0000-0000-0000D1000000}"/>
    <cellStyle name="Note 2 2" xfId="71" xr:uid="{00000000-0005-0000-0000-0000D2000000}"/>
    <cellStyle name="Note 2 2 2" xfId="104" xr:uid="{00000000-0005-0000-0000-0000D3000000}"/>
    <cellStyle name="Note 2 2 2 2" xfId="232" xr:uid="{00000000-0005-0000-0000-0000D4000000}"/>
    <cellStyle name="Note 2 2 3" xfId="231" xr:uid="{00000000-0005-0000-0000-0000D5000000}"/>
    <cellStyle name="Note 2 3" xfId="103" xr:uid="{00000000-0005-0000-0000-0000D6000000}"/>
    <cellStyle name="Note 2 3 2" xfId="233" xr:uid="{00000000-0005-0000-0000-0000D7000000}"/>
    <cellStyle name="Note 2 4" xfId="230" xr:uid="{00000000-0005-0000-0000-0000D8000000}"/>
    <cellStyle name="Note 3" xfId="109" xr:uid="{00000000-0005-0000-0000-0000D9000000}"/>
    <cellStyle name="Note 3 2" xfId="234" xr:uid="{00000000-0005-0000-0000-0000DA000000}"/>
    <cellStyle name="Note 4" xfId="123" xr:uid="{00000000-0005-0000-0000-0000DB000000}"/>
    <cellStyle name="Note 4 2" xfId="235" xr:uid="{00000000-0005-0000-0000-0000DC000000}"/>
    <cellStyle name="Output" xfId="14" builtinId="21" customBuiltin="1"/>
    <cellStyle name="Percent" xfId="2" builtinId="5"/>
    <cellStyle name="Percent 2" xfId="50" xr:uid="{00000000-0005-0000-0000-0000DF000000}"/>
    <cellStyle name="Percent 2 2" xfId="79" xr:uid="{00000000-0005-0000-0000-0000E0000000}"/>
    <cellStyle name="Percent 2 2 2" xfId="105" xr:uid="{00000000-0005-0000-0000-0000E1000000}"/>
    <cellStyle name="Percent 2 2 2 2" xfId="238" xr:uid="{00000000-0005-0000-0000-0000E2000000}"/>
    <cellStyle name="Percent 2 2 3" xfId="237" xr:uid="{00000000-0005-0000-0000-0000E3000000}"/>
    <cellStyle name="Percent 2 3" xfId="251" xr:uid="{D81AEA6E-DBF7-459D-84E9-A2D75018CDE0}"/>
    <cellStyle name="Percent 3" xfId="53" xr:uid="{00000000-0005-0000-0000-0000E4000000}"/>
    <cellStyle name="Percent 3 2" xfId="74" xr:uid="{00000000-0005-0000-0000-0000E5000000}"/>
    <cellStyle name="Percent 3 2 2" xfId="107" xr:uid="{00000000-0005-0000-0000-0000E6000000}"/>
    <cellStyle name="Percent 3 2 2 2" xfId="241" xr:uid="{00000000-0005-0000-0000-0000E7000000}"/>
    <cellStyle name="Percent 3 2 3" xfId="240" xr:uid="{00000000-0005-0000-0000-0000E8000000}"/>
    <cellStyle name="Percent 3 3" xfId="106" xr:uid="{00000000-0005-0000-0000-0000E9000000}"/>
    <cellStyle name="Percent 3 3 2" xfId="242" xr:uid="{00000000-0005-0000-0000-0000EA000000}"/>
    <cellStyle name="Percent 3 4" xfId="239" xr:uid="{00000000-0005-0000-0000-0000EB000000}"/>
    <cellStyle name="Percent 4" xfId="77" xr:uid="{00000000-0005-0000-0000-0000EC000000}"/>
    <cellStyle name="Percent 5" xfId="137" xr:uid="{00000000-0005-0000-0000-0000ED000000}"/>
    <cellStyle name="Percent 5 2" xfId="244" xr:uid="{00000000-0005-0000-0000-0000EE000000}"/>
    <cellStyle name="Percent 6" xfId="142" xr:uid="{00000000-0005-0000-0000-0000EF000000}"/>
    <cellStyle name="Percent 6 2" xfId="245" xr:uid="{00000000-0005-0000-0000-0000F0000000}"/>
    <cellStyle name="Percent 7" xfId="147" xr:uid="{00000000-0005-0000-0000-0000F1000000}"/>
    <cellStyle name="Percent 8" xfId="150" xr:uid="{00000000-0005-0000-0000-0000F2000000}"/>
    <cellStyle name="Title" xfId="5" builtinId="15" customBuiltin="1"/>
    <cellStyle name="Total" xfId="20" builtinId="25" customBuiltin="1"/>
    <cellStyle name="Warning Text" xfId="18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4713"/>
      <color rgb="FFD4610C"/>
      <color rgb="FFFFFF66"/>
      <color rgb="FFFF99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 Vs Bank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'Cash Flow'!$A$73</c:f>
              <c:strCache>
                <c:ptCount val="1"/>
                <c:pt idx="0">
                  <c:v>Month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'Cash Flow'!$B$73:$Q$73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5-4F0C-BF10-C7A9186C8004}"/>
            </c:ext>
          </c:extLst>
        </c:ser>
        <c:ser>
          <c:idx val="1"/>
          <c:order val="1"/>
          <c:tx>
            <c:strRef>
              <c:f>'Cash Flow'!$A$74</c:f>
              <c:strCache>
                <c:ptCount val="1"/>
                <c:pt idx="0">
                  <c:v>Revenues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'Cash Flow'!$B$74:$Q$74</c:f>
              <c:numCache>
                <c:formatCode>_-[$$-409]* #,##0_ ;_-[$$-409]* \-#,##0\ ;_-[$$-409]* "-"??_ ;_-@_ </c:formatCode>
                <c:ptCount val="16"/>
                <c:pt idx="0">
                  <c:v>550</c:v>
                </c:pt>
                <c:pt idx="1">
                  <c:v>1300</c:v>
                </c:pt>
                <c:pt idx="2">
                  <c:v>1900</c:v>
                </c:pt>
                <c:pt idx="3">
                  <c:v>3000</c:v>
                </c:pt>
                <c:pt idx="4">
                  <c:v>4050</c:v>
                </c:pt>
                <c:pt idx="5">
                  <c:v>5850</c:v>
                </c:pt>
                <c:pt idx="6">
                  <c:v>7650</c:v>
                </c:pt>
                <c:pt idx="7">
                  <c:v>9650</c:v>
                </c:pt>
                <c:pt idx="8">
                  <c:v>12000</c:v>
                </c:pt>
                <c:pt idx="9">
                  <c:v>14550</c:v>
                </c:pt>
                <c:pt idx="10">
                  <c:v>17750</c:v>
                </c:pt>
                <c:pt idx="11">
                  <c:v>21200</c:v>
                </c:pt>
                <c:pt idx="12">
                  <c:v>24600</c:v>
                </c:pt>
                <c:pt idx="13">
                  <c:v>38250</c:v>
                </c:pt>
                <c:pt idx="14">
                  <c:v>43850</c:v>
                </c:pt>
                <c:pt idx="15">
                  <c:v>51450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5-4F0C-BF10-C7A9186C80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9016847"/>
        <c:axId val="749015599"/>
      </c:barChart>
      <c:lineChart>
        <c:grouping val="standard"/>
        <c:varyColors val="0"/>
        <c:ser>
          <c:idx val="2"/>
          <c:order val="2"/>
          <c:tx>
            <c:strRef>
              <c:f>'Cash Flow'!$A$75</c:f>
              <c:strCache>
                <c:ptCount val="1"/>
                <c:pt idx="0">
                  <c:v>Cash in Bank (USD)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'Cash Flow'!$B$75:$Q$75</c:f>
              <c:numCache>
                <c:formatCode>_-[$$-409]* #,##0_ ;_-[$$-409]* \-#,##0\ ;_-[$$-409]* "-"??_ ;_-@_ </c:formatCode>
                <c:ptCount val="16"/>
                <c:pt idx="0">
                  <c:v>166198.01526717556</c:v>
                </c:pt>
                <c:pt idx="1">
                  <c:v>132946.03053435113</c:v>
                </c:pt>
                <c:pt idx="2">
                  <c:v>90152.671755725183</c:v>
                </c:pt>
                <c:pt idx="3">
                  <c:v>43975.725190839694</c:v>
                </c:pt>
                <c:pt idx="4">
                  <c:v>198.77862595420447</c:v>
                </c:pt>
                <c:pt idx="5">
                  <c:v>1447490.1068702289</c:v>
                </c:pt>
                <c:pt idx="6">
                  <c:v>1386136.7022900763</c:v>
                </c:pt>
                <c:pt idx="7">
                  <c:v>1316051.572519084</c:v>
                </c:pt>
                <c:pt idx="8">
                  <c:v>1247816.4427480916</c:v>
                </c:pt>
                <c:pt idx="9">
                  <c:v>1176941.2366412214</c:v>
                </c:pt>
                <c:pt idx="10">
                  <c:v>1112366.0305343512</c:v>
                </c:pt>
                <c:pt idx="11">
                  <c:v>1047042.8702290078</c:v>
                </c:pt>
                <c:pt idx="12">
                  <c:v>966184.51386442245</c:v>
                </c:pt>
                <c:pt idx="13">
                  <c:v>748533.6432439487</c:v>
                </c:pt>
                <c:pt idx="14">
                  <c:v>691215.74489463051</c:v>
                </c:pt>
                <c:pt idx="15">
                  <c:v>641297.84654531232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F0C-BF10-C7A9186C80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9016847"/>
        <c:axId val="749015599"/>
      </c:lineChart>
      <c:catAx>
        <c:axId val="7490168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49015599"/>
        <c:crosses val="autoZero"/>
        <c:auto val="1"/>
        <c:lblAlgn val="ctr"/>
        <c:lblOffset val="100"/>
        <c:noMultiLvlLbl val="0"/>
      </c:catAx>
      <c:valAx>
        <c:axId val="74901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4901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MRR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KPI!$A$2:$S$2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1-43CA-B1F7-EB485D296E1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KPI!$A$3:$S$3</c:f>
              <c:numCache>
                <c:formatCode>_-[$$-409]* #,##0_ ;_-[$$-409]* \-#,##0\ ;_-[$$-409]* "-"??_ ;_-@_ </c:formatCode>
                <c:ptCount val="19"/>
                <c:pt idx="1">
                  <c:v>550</c:v>
                </c:pt>
                <c:pt idx="2">
                  <c:v>1300</c:v>
                </c:pt>
                <c:pt idx="3">
                  <c:v>1900</c:v>
                </c:pt>
                <c:pt idx="4">
                  <c:v>3000</c:v>
                </c:pt>
                <c:pt idx="5">
                  <c:v>4050</c:v>
                </c:pt>
                <c:pt idx="6">
                  <c:v>5850</c:v>
                </c:pt>
                <c:pt idx="7">
                  <c:v>7650</c:v>
                </c:pt>
                <c:pt idx="8">
                  <c:v>9650</c:v>
                </c:pt>
                <c:pt idx="9">
                  <c:v>12000</c:v>
                </c:pt>
                <c:pt idx="10">
                  <c:v>14550</c:v>
                </c:pt>
                <c:pt idx="11">
                  <c:v>17750</c:v>
                </c:pt>
                <c:pt idx="12">
                  <c:v>21200</c:v>
                </c:pt>
                <c:pt idx="13">
                  <c:v>24600</c:v>
                </c:pt>
                <c:pt idx="14">
                  <c:v>28700</c:v>
                </c:pt>
                <c:pt idx="15">
                  <c:v>33050</c:v>
                </c:pt>
                <c:pt idx="16">
                  <c:v>38250</c:v>
                </c:pt>
                <c:pt idx="17">
                  <c:v>43850</c:v>
                </c:pt>
                <c:pt idx="18">
                  <c:v>51450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D-4C03-B987-B6888E718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915728"/>
        <c:axId val="368914608"/>
      </c:barChart>
      <c:catAx>
        <c:axId val="36891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68914608"/>
        <c:crosses val="autoZero"/>
        <c:auto val="1"/>
        <c:lblAlgn val="ctr"/>
        <c:lblOffset val="100"/>
        <c:noMultiLvlLbl val="0"/>
      </c:catAx>
      <c:valAx>
        <c:axId val="36891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6891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ARR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KPI!$A$25:$S$25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5-45B5-8AD3-F16079FFF0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KPI!$A$26:$S$26</c:f>
              <c:numCache>
                <c:formatCode>_-[$$-409]* #,##0_ ;_-[$$-409]* \-#,##0\ ;_-[$$-409]* "-"??_ ;_-@_ </c:formatCode>
                <c:ptCount val="19"/>
                <c:pt idx="1">
                  <c:v>6600</c:v>
                </c:pt>
                <c:pt idx="2">
                  <c:v>15600</c:v>
                </c:pt>
                <c:pt idx="3">
                  <c:v>22800</c:v>
                </c:pt>
                <c:pt idx="4">
                  <c:v>36000</c:v>
                </c:pt>
                <c:pt idx="5">
                  <c:v>48600</c:v>
                </c:pt>
                <c:pt idx="6">
                  <c:v>70200</c:v>
                </c:pt>
                <c:pt idx="7">
                  <c:v>91800</c:v>
                </c:pt>
                <c:pt idx="8">
                  <c:v>115800</c:v>
                </c:pt>
                <c:pt idx="9">
                  <c:v>144000</c:v>
                </c:pt>
                <c:pt idx="10">
                  <c:v>174600</c:v>
                </c:pt>
                <c:pt idx="11">
                  <c:v>213000</c:v>
                </c:pt>
                <c:pt idx="12">
                  <c:v>254400</c:v>
                </c:pt>
                <c:pt idx="13">
                  <c:v>295200</c:v>
                </c:pt>
                <c:pt idx="14">
                  <c:v>344400</c:v>
                </c:pt>
                <c:pt idx="15">
                  <c:v>396600</c:v>
                </c:pt>
                <c:pt idx="16">
                  <c:v>459000</c:v>
                </c:pt>
                <c:pt idx="17">
                  <c:v>526200</c:v>
                </c:pt>
                <c:pt idx="18">
                  <c:v>617400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5-45B5-8AD3-F16079FFF0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915728"/>
        <c:axId val="368914608"/>
      </c:barChart>
      <c:catAx>
        <c:axId val="36891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68914608"/>
        <c:crosses val="autoZero"/>
        <c:auto val="1"/>
        <c:lblAlgn val="ctr"/>
        <c:lblOffset val="100"/>
        <c:noMultiLvlLbl val="0"/>
      </c:catAx>
      <c:valAx>
        <c:axId val="36891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6891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371475</xdr:colOff>
      <xdr:row>2</xdr:row>
      <xdr:rowOff>111271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DF4C3F-7BC2-4735-A423-6195CA117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0775" cy="435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515471</xdr:colOff>
      <xdr:row>43</xdr:row>
      <xdr:rowOff>22411</xdr:rowOff>
    </xdr:from>
    <xdr:to>
      <xdr:col>15</xdr:col>
      <xdr:colOff>728382</xdr:colOff>
      <xdr:row>71</xdr:row>
      <xdr:rowOff>89647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7821B-C22F-4F63-B8BC-221BE18CE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204786</xdr:colOff>
      <xdr:row>3</xdr:row>
      <xdr:rowOff>119062</xdr:rowOff>
    </xdr:from>
    <xdr:to>
      <xdr:col>18</xdr:col>
      <xdr:colOff>742950</xdr:colOff>
      <xdr:row>20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204786</xdr:colOff>
      <xdr:row>26</xdr:row>
      <xdr:rowOff>119062</xdr:rowOff>
    </xdr:from>
    <xdr:to>
      <xdr:col>18</xdr:col>
      <xdr:colOff>742950</xdr:colOff>
      <xdr:row>43</xdr:row>
      <xdr:rowOff>109537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D6C1A6D-61E9-42BC-BF5D-5E5DC537D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97</xdr:row>
      <xdr:rowOff>0</xdr:rowOff>
    </xdr:from>
    <xdr:to>
      <xdr:col>12</xdr:col>
      <xdr:colOff>224986</xdr:colOff>
      <xdr:row>118</xdr:row>
      <xdr:rowOff>87627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21109781"/>
          <a:ext cx="9857143" cy="38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k8\&#1502;&#1497;&#1499;&#1508;&#1500;_&#1496;&#1489;&#1500;&#1488;&#1493;&#1514;%20&#1510;&#1497;&#1512;_&#1514;&#1502;&#1495;&#1497;&#1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odora.lo/AppData/Local/Microsoft/Windows/Temporary%20Internet%20Files/Content.Outlook/2GW53V3R/Leverate%202013%20Bud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%2024.1.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עלות מחלקה - הצגה חודשית"/>
      <sheetName val="עלות מחלקה - הצגה רבעונית"/>
      <sheetName val="עלות מחלקה - הצגה רב-שנתית"/>
      <sheetName val="עלות עובדים - הצגה חודשית"/>
      <sheetName val="עלות עובדים - הצגה רבעונית"/>
      <sheetName val="עלות עובדים - הצגה רב-שנתית"/>
      <sheetName val="רב שנתי בחתך חודשי"/>
      <sheetName val="מעלות לנטו - פרוט לפי עובדים"/>
      <sheetName val="מעלות לנטו - פרוט לפי חודשים"/>
      <sheetName val="מעלות לנטו - ריכוז לפי עובדים"/>
      <sheetName val="עלות ושווי"/>
      <sheetName val="אין יותר"/>
      <sheetName val="גיליון3"/>
      <sheetName val="מעלות לנטו - מחלקות ותת מחלקות"/>
      <sheetName val="מעלות לנטו -עובדים בפרוט חודשים"/>
      <sheetName val="מעלות לנטו -מחלקות ופרוט עובדים"/>
    </sheetNames>
    <sheetDataSet>
      <sheetData sheetId="0">
        <row r="1">
          <cell r="A1" t="str">
            <v>שם החברה</v>
          </cell>
          <cell r="B1" t="str">
            <v>שנת מס</v>
          </cell>
          <cell r="C1" t="str">
            <v>מספר חודש</v>
          </cell>
          <cell r="D1" t="str">
            <v>מספר עובד</v>
          </cell>
          <cell r="E1" t="str">
            <v>שם העובד</v>
          </cell>
          <cell r="F1" t="str">
            <v>שם מחלקה</v>
          </cell>
          <cell r="G1" t="str">
            <v>מספר תת-מחלקה</v>
          </cell>
          <cell r="H1" t="str">
            <v>סיכום ברוטו</v>
          </cell>
          <cell r="I1" t="str">
            <v>תשלומים</v>
          </cell>
          <cell r="J1" t="str">
            <v>תגמולים-מ</v>
          </cell>
          <cell r="K1" t="str">
            <v>קרן השת.-מ</v>
          </cell>
          <cell r="L1" t="str">
            <v>פיצויים</v>
          </cell>
          <cell r="M1" t="str">
            <v>שונות</v>
          </cell>
          <cell r="N1" t="str">
            <v>בט.לאומי-מ</v>
          </cell>
          <cell r="O1" t="str">
            <v>מס מעסיקים</v>
          </cell>
          <cell r="P1" t="str">
            <v>מס שכר</v>
          </cell>
          <cell r="Q1" t="str">
            <v>הטל ע.זר</v>
          </cell>
          <cell r="R1" t="str">
            <v>סה"כ עלות</v>
          </cell>
          <cell r="S1" t="str">
            <v>מס הכנסה</v>
          </cell>
          <cell r="T1" t="str">
            <v>תגמולים-ע</v>
          </cell>
          <cell r="U1" t="str">
            <v>קרן השת.-ע</v>
          </cell>
          <cell r="V1" t="str">
            <v>הסתדרות</v>
          </cell>
          <cell r="W1" t="str">
            <v>נכ.אחרים</v>
          </cell>
          <cell r="X1" t="str">
            <v>ביטוח לאומי</v>
          </cell>
          <cell r="Y1" t="str">
            <v>שכר נטו</v>
          </cell>
          <cell r="Z1" t="str">
            <v>נכ.רשות</v>
          </cell>
          <cell r="AA1" t="str">
            <v>לתשלום</v>
          </cell>
          <cell r="AB1" t="str">
            <v>רבעון</v>
          </cell>
          <cell r="AC1" t="str">
            <v>בחר עובד</v>
          </cell>
          <cell r="AD1" t="str">
            <v>בחר מחלקה</v>
          </cell>
          <cell r="AE1" t="str">
            <v>בחר רבעון</v>
          </cell>
          <cell r="AF1" t="str">
            <v>בחר חודש</v>
          </cell>
          <cell r="AG1" t="str">
            <v>סיכום תשלומי מעביד</v>
          </cell>
          <cell r="AH1" t="str">
            <v>מס הכנסה וביל</v>
          </cell>
          <cell r="AI1" t="str">
            <v>שווי</v>
          </cell>
        </row>
        <row r="2">
          <cell r="A2" t="str">
            <v>אינישיה בע"מ</v>
          </cell>
          <cell r="B2">
            <v>2005</v>
          </cell>
          <cell r="C2">
            <v>11</v>
          </cell>
          <cell r="D2">
            <v>23</v>
          </cell>
          <cell r="E2" t="str">
            <v>גורביץ  דנה</v>
          </cell>
          <cell r="F2" t="str">
            <v>נוער</v>
          </cell>
          <cell r="G2">
            <v>0</v>
          </cell>
          <cell r="H2">
            <v>2154.6999999999998</v>
          </cell>
          <cell r="I2">
            <v>2154.6999999999998</v>
          </cell>
          <cell r="J2">
            <v>546</v>
          </cell>
          <cell r="K2">
            <v>585</v>
          </cell>
          <cell r="L2">
            <v>649.74</v>
          </cell>
          <cell r="M2">
            <v>0</v>
          </cell>
          <cell r="N2">
            <v>115.12</v>
          </cell>
          <cell r="R2">
            <v>2269.8200000000002</v>
          </cell>
          <cell r="S2">
            <v>318.66000000000003</v>
          </cell>
          <cell r="T2">
            <v>546</v>
          </cell>
          <cell r="U2">
            <v>195</v>
          </cell>
          <cell r="W2">
            <v>0</v>
          </cell>
          <cell r="X2">
            <v>96.7</v>
          </cell>
          <cell r="Y2">
            <v>898.22</v>
          </cell>
          <cell r="AA2">
            <v>2058</v>
          </cell>
          <cell r="AB2">
            <v>4</v>
          </cell>
          <cell r="AC2" t="str">
            <v>גורביץ  דנה</v>
          </cell>
          <cell r="AD2" t="str">
            <v>נוער</v>
          </cell>
          <cell r="AE2">
            <v>4</v>
          </cell>
          <cell r="AF2">
            <v>11</v>
          </cell>
          <cell r="AG2">
            <v>115.12</v>
          </cell>
          <cell r="AH2">
            <v>96.7</v>
          </cell>
          <cell r="AI2">
            <v>55.46</v>
          </cell>
        </row>
        <row r="3">
          <cell r="A3" t="str">
            <v>אינישיה בע"מ</v>
          </cell>
          <cell r="B3">
            <v>2005</v>
          </cell>
          <cell r="C3">
            <v>11</v>
          </cell>
          <cell r="D3">
            <v>201</v>
          </cell>
          <cell r="E3" t="str">
            <v>בלום  אלי</v>
          </cell>
          <cell r="F3" t="str">
            <v>הנדסה</v>
          </cell>
          <cell r="G3">
            <v>0</v>
          </cell>
          <cell r="H3">
            <v>16268</v>
          </cell>
          <cell r="I3">
            <v>14978</v>
          </cell>
          <cell r="J3">
            <v>748.9</v>
          </cell>
          <cell r="K3">
            <v>1123.3499999999999</v>
          </cell>
          <cell r="L3">
            <v>1247.67</v>
          </cell>
          <cell r="M3">
            <v>0</v>
          </cell>
          <cell r="N3">
            <v>3.79</v>
          </cell>
          <cell r="R3">
            <v>19009.75</v>
          </cell>
          <cell r="S3">
            <v>3727.77</v>
          </cell>
          <cell r="T3">
            <v>748.9</v>
          </cell>
          <cell r="U3">
            <v>374.45</v>
          </cell>
          <cell r="W3">
            <v>0</v>
          </cell>
          <cell r="X3">
            <v>701.74</v>
          </cell>
          <cell r="Y3">
            <v>7386</v>
          </cell>
          <cell r="Z3">
            <v>9</v>
          </cell>
          <cell r="AA3">
            <v>7386</v>
          </cell>
          <cell r="AB3">
            <v>1</v>
          </cell>
          <cell r="AC3" t="str">
            <v>גלבר  דיילי</v>
          </cell>
          <cell r="AD3" t="str">
            <v>Acount Man</v>
          </cell>
          <cell r="AE3">
            <v>1</v>
          </cell>
          <cell r="AF3">
            <v>2</v>
          </cell>
          <cell r="AG3">
            <v>2256.25</v>
          </cell>
          <cell r="AH3">
            <v>1108</v>
          </cell>
          <cell r="AI3">
            <v>475.46</v>
          </cell>
        </row>
        <row r="4">
          <cell r="A4" t="str">
            <v>אינישיה בע"מ</v>
          </cell>
          <cell r="B4">
            <v>2005</v>
          </cell>
          <cell r="C4">
            <v>11</v>
          </cell>
          <cell r="D4">
            <v>203</v>
          </cell>
          <cell r="E4" t="str">
            <v>גורביץ  ארקדי</v>
          </cell>
          <cell r="F4" t="str">
            <v>מכניקה</v>
          </cell>
          <cell r="G4">
            <v>0</v>
          </cell>
          <cell r="H4">
            <v>16731</v>
          </cell>
          <cell r="I4">
            <v>16731</v>
          </cell>
          <cell r="J4">
            <v>609.25</v>
          </cell>
          <cell r="K4">
            <v>913.88</v>
          </cell>
          <cell r="L4">
            <v>1015.01</v>
          </cell>
          <cell r="M4">
            <v>0</v>
          </cell>
          <cell r="N4">
            <v>7.22</v>
          </cell>
          <cell r="R4">
            <v>20207.27</v>
          </cell>
          <cell r="S4">
            <v>3899.19</v>
          </cell>
          <cell r="T4">
            <v>609.25</v>
          </cell>
          <cell r="U4">
            <v>304.63</v>
          </cell>
          <cell r="W4">
            <v>0</v>
          </cell>
          <cell r="X4">
            <v>1531.93</v>
          </cell>
          <cell r="Y4">
            <v>1093.5999999999999</v>
          </cell>
          <cell r="AA4">
            <v>10386</v>
          </cell>
          <cell r="AB4">
            <v>4</v>
          </cell>
          <cell r="AC4" t="str">
            <v>גורביץ  ארקדי</v>
          </cell>
          <cell r="AD4" t="str">
            <v>מכניקה</v>
          </cell>
          <cell r="AE4">
            <v>4</v>
          </cell>
          <cell r="AF4">
            <v>11</v>
          </cell>
          <cell r="AG4">
            <v>3476.27</v>
          </cell>
          <cell r="AH4">
            <v>5431.12</v>
          </cell>
          <cell r="AI4">
            <v>395.46</v>
          </cell>
        </row>
        <row r="5">
          <cell r="A5" t="str">
            <v>אינישיה בע"מ</v>
          </cell>
          <cell r="B5">
            <v>2005</v>
          </cell>
          <cell r="C5">
            <v>11</v>
          </cell>
          <cell r="D5">
            <v>204</v>
          </cell>
          <cell r="E5" t="str">
            <v>ברזילאי  מאיר</v>
          </cell>
          <cell r="F5" t="str">
            <v>תוכנה</v>
          </cell>
          <cell r="G5">
            <v>0</v>
          </cell>
          <cell r="H5">
            <v>25004.6</v>
          </cell>
          <cell r="I5">
            <v>24919.599999999999</v>
          </cell>
          <cell r="J5">
            <v>1045.98</v>
          </cell>
          <cell r="K5">
            <v>1178.4000000000001</v>
          </cell>
          <cell r="L5">
            <v>1742.6</v>
          </cell>
          <cell r="M5">
            <v>0</v>
          </cell>
          <cell r="N5">
            <v>3.12</v>
          </cell>
          <cell r="R5">
            <v>30294.65</v>
          </cell>
          <cell r="S5">
            <v>7062.09</v>
          </cell>
          <cell r="T5">
            <v>1045.98</v>
          </cell>
          <cell r="U5">
            <v>392.8</v>
          </cell>
          <cell r="W5">
            <v>0</v>
          </cell>
          <cell r="X5">
            <v>2390.73</v>
          </cell>
          <cell r="Y5">
            <v>472.64</v>
          </cell>
          <cell r="AA5">
            <v>14028</v>
          </cell>
          <cell r="AB5">
            <v>4</v>
          </cell>
          <cell r="AC5" t="str">
            <v>ברזילאי  מאיר</v>
          </cell>
          <cell r="AD5" t="str">
            <v>תוכנה</v>
          </cell>
          <cell r="AE5">
            <v>4</v>
          </cell>
          <cell r="AF5">
            <v>11</v>
          </cell>
          <cell r="AG5">
            <v>5375.05</v>
          </cell>
          <cell r="AH5">
            <v>9452.82</v>
          </cell>
          <cell r="AI5">
            <v>85</v>
          </cell>
        </row>
        <row r="6">
          <cell r="A6" t="str">
            <v>אינישיה בע"מ</v>
          </cell>
          <cell r="B6">
            <v>2005</v>
          </cell>
          <cell r="C6">
            <v>11</v>
          </cell>
          <cell r="D6">
            <v>205</v>
          </cell>
          <cell r="E6" t="str">
            <v>טורגה  דב</v>
          </cell>
          <cell r="F6" t="str">
            <v>מכניקה</v>
          </cell>
          <cell r="G6">
            <v>0</v>
          </cell>
          <cell r="H6">
            <v>4635.66</v>
          </cell>
          <cell r="I6">
            <v>4635.66</v>
          </cell>
          <cell r="J6">
            <v>546</v>
          </cell>
          <cell r="K6">
            <v>585</v>
          </cell>
          <cell r="L6">
            <v>649.74</v>
          </cell>
          <cell r="M6">
            <v>0</v>
          </cell>
          <cell r="N6">
            <v>25.66</v>
          </cell>
          <cell r="R6">
            <v>4661.32</v>
          </cell>
          <cell r="S6">
            <v>15.66</v>
          </cell>
          <cell r="T6">
            <v>546</v>
          </cell>
          <cell r="U6">
            <v>195</v>
          </cell>
          <cell r="W6">
            <v>0</v>
          </cell>
          <cell r="X6">
            <v>16.7</v>
          </cell>
          <cell r="Y6">
            <v>4620</v>
          </cell>
          <cell r="AA6">
            <v>4620</v>
          </cell>
          <cell r="AB6">
            <v>4</v>
          </cell>
          <cell r="AC6" t="str">
            <v>טורגה  דב</v>
          </cell>
          <cell r="AD6" t="str">
            <v>מכניקה</v>
          </cell>
          <cell r="AE6">
            <v>4</v>
          </cell>
          <cell r="AF6">
            <v>11</v>
          </cell>
          <cell r="AG6">
            <v>25.66</v>
          </cell>
          <cell r="AH6">
            <v>15.66</v>
          </cell>
          <cell r="AI6">
            <v>424.21</v>
          </cell>
        </row>
        <row r="7">
          <cell r="A7" t="str">
            <v>אינישיה בע"מ</v>
          </cell>
          <cell r="B7">
            <v>2005</v>
          </cell>
          <cell r="C7">
            <v>11</v>
          </cell>
          <cell r="D7">
            <v>209</v>
          </cell>
          <cell r="E7" t="str">
            <v>טולמצ'וב  אנה</v>
          </cell>
          <cell r="F7" t="str">
            <v>פיזיקה</v>
          </cell>
          <cell r="G7">
            <v>0</v>
          </cell>
          <cell r="H7">
            <v>16029</v>
          </cell>
          <cell r="I7">
            <v>16029</v>
          </cell>
          <cell r="J7">
            <v>785.6</v>
          </cell>
          <cell r="K7">
            <v>1178.4000000000001</v>
          </cell>
          <cell r="L7">
            <v>1308.81</v>
          </cell>
          <cell r="M7">
            <v>0</v>
          </cell>
          <cell r="N7">
            <v>27.92</v>
          </cell>
          <cell r="R7">
            <v>20200.07</v>
          </cell>
          <cell r="S7">
            <v>3549.53</v>
          </cell>
          <cell r="T7">
            <v>785.6</v>
          </cell>
          <cell r="U7">
            <v>392.8</v>
          </cell>
          <cell r="W7">
            <v>0</v>
          </cell>
          <cell r="X7">
            <v>699.5</v>
          </cell>
          <cell r="Y7">
            <v>7391</v>
          </cell>
          <cell r="Z7">
            <v>-1500</v>
          </cell>
          <cell r="AA7">
            <v>9842</v>
          </cell>
          <cell r="AB7">
            <v>4</v>
          </cell>
          <cell r="AC7" t="str">
            <v>טולמצ'וב  אנה</v>
          </cell>
          <cell r="AD7" t="str">
            <v>פיזיקה</v>
          </cell>
          <cell r="AE7">
            <v>4</v>
          </cell>
          <cell r="AF7">
            <v>11</v>
          </cell>
          <cell r="AG7">
            <v>4171.07</v>
          </cell>
          <cell r="AH7">
            <v>5008.6000000000004</v>
          </cell>
          <cell r="AI7">
            <v>456.7</v>
          </cell>
        </row>
        <row r="8">
          <cell r="A8" t="str">
            <v>אינישיה בע"מ</v>
          </cell>
          <cell r="B8">
            <v>2005</v>
          </cell>
          <cell r="C8">
            <v>11</v>
          </cell>
          <cell r="D8">
            <v>210</v>
          </cell>
          <cell r="E8" t="str">
            <v>טבר  רג'א</v>
          </cell>
          <cell r="F8" t="str">
            <v>תוכנה</v>
          </cell>
          <cell r="G8">
            <v>0</v>
          </cell>
          <cell r="H8">
            <v>22263.24</v>
          </cell>
          <cell r="I8">
            <v>20973.24</v>
          </cell>
          <cell r="J8">
            <v>1048.6600000000001</v>
          </cell>
          <cell r="K8">
            <v>585</v>
          </cell>
          <cell r="L8">
            <v>1747.07</v>
          </cell>
          <cell r="M8">
            <v>0</v>
          </cell>
          <cell r="N8">
            <v>13.56</v>
          </cell>
          <cell r="R8">
            <v>25021.33</v>
          </cell>
          <cell r="S8">
            <v>5993.4</v>
          </cell>
          <cell r="T8">
            <v>1048.6600000000001</v>
          </cell>
          <cell r="U8">
            <v>195</v>
          </cell>
          <cell r="W8">
            <v>0</v>
          </cell>
          <cell r="X8">
            <v>2106.1799999999998</v>
          </cell>
          <cell r="Y8">
            <v>11825</v>
          </cell>
          <cell r="AA8">
            <v>11825</v>
          </cell>
          <cell r="AB8">
            <v>4</v>
          </cell>
          <cell r="AC8" t="str">
            <v>טבר  רג'א</v>
          </cell>
          <cell r="AD8" t="str">
            <v>תוכנה</v>
          </cell>
          <cell r="AE8">
            <v>4</v>
          </cell>
          <cell r="AF8">
            <v>11</v>
          </cell>
          <cell r="AG8">
            <v>4048.09</v>
          </cell>
          <cell r="AH8">
            <v>8099.58</v>
          </cell>
          <cell r="AI8">
            <v>1290</v>
          </cell>
        </row>
        <row r="9">
          <cell r="A9" t="str">
            <v>אינישיה בע"מ</v>
          </cell>
          <cell r="B9">
            <v>2005</v>
          </cell>
          <cell r="C9">
            <v>11</v>
          </cell>
          <cell r="D9">
            <v>211</v>
          </cell>
          <cell r="E9" t="str">
            <v>טופז  אנה</v>
          </cell>
          <cell r="F9" t="str">
            <v>תוכנה</v>
          </cell>
          <cell r="G9">
            <v>0</v>
          </cell>
          <cell r="H9">
            <v>13410</v>
          </cell>
          <cell r="I9">
            <v>13410</v>
          </cell>
          <cell r="J9">
            <v>670.5</v>
          </cell>
          <cell r="K9">
            <v>1005.75</v>
          </cell>
          <cell r="L9">
            <v>1117.05</v>
          </cell>
          <cell r="M9">
            <v>0</v>
          </cell>
          <cell r="N9">
            <v>48.57</v>
          </cell>
          <cell r="R9">
            <v>16952.8</v>
          </cell>
          <cell r="S9">
            <v>2314.04</v>
          </cell>
          <cell r="T9">
            <v>670.5</v>
          </cell>
          <cell r="U9">
            <v>335.25</v>
          </cell>
          <cell r="W9">
            <v>0</v>
          </cell>
          <cell r="X9">
            <v>695.3</v>
          </cell>
          <cell r="Y9">
            <v>7404</v>
          </cell>
          <cell r="Z9">
            <v>658.58</v>
          </cell>
          <cell r="AA9">
            <v>7404</v>
          </cell>
          <cell r="AB9">
            <v>3</v>
          </cell>
          <cell r="AC9" t="str">
            <v>גלבר  דיילי</v>
          </cell>
          <cell r="AD9" t="str">
            <v>Risk</v>
          </cell>
          <cell r="AE9">
            <v>3</v>
          </cell>
          <cell r="AF9">
            <v>8</v>
          </cell>
          <cell r="AG9">
            <v>2252.62</v>
          </cell>
          <cell r="AH9">
            <v>1090</v>
          </cell>
          <cell r="AI9">
            <v>421.7</v>
          </cell>
        </row>
        <row r="10">
          <cell r="A10" t="str">
            <v>אינישיה בע"מ</v>
          </cell>
          <cell r="B10">
            <v>2005</v>
          </cell>
          <cell r="C10">
            <v>11</v>
          </cell>
          <cell r="D10">
            <v>213</v>
          </cell>
          <cell r="E10" t="str">
            <v>ריבלסקי  יוני</v>
          </cell>
          <cell r="F10" t="str">
            <v>נ.פרויקטים</v>
          </cell>
          <cell r="G10">
            <v>0</v>
          </cell>
          <cell r="H10">
            <v>20390</v>
          </cell>
          <cell r="I10">
            <v>19100</v>
          </cell>
          <cell r="J10">
            <v>668.5</v>
          </cell>
          <cell r="K10">
            <v>1002.75</v>
          </cell>
          <cell r="L10">
            <v>1113.72</v>
          </cell>
          <cell r="M10">
            <v>0</v>
          </cell>
          <cell r="N10">
            <v>38.81</v>
          </cell>
          <cell r="R10">
            <v>23030.93</v>
          </cell>
          <cell r="S10">
            <v>5262.51</v>
          </cell>
          <cell r="T10">
            <v>668.5</v>
          </cell>
          <cell r="U10">
            <v>334.25</v>
          </cell>
          <cell r="W10">
            <v>0</v>
          </cell>
          <cell r="X10">
            <v>736.83</v>
          </cell>
          <cell r="Y10">
            <v>7476</v>
          </cell>
          <cell r="Z10">
            <v>594.5</v>
          </cell>
          <cell r="AA10">
            <v>7476</v>
          </cell>
          <cell r="AB10">
            <v>3</v>
          </cell>
          <cell r="AC10" t="str">
            <v>גלבר  דיילי</v>
          </cell>
          <cell r="AD10" t="str">
            <v>Risk</v>
          </cell>
          <cell r="AE10">
            <v>3</v>
          </cell>
          <cell r="AF10">
            <v>9</v>
          </cell>
          <cell r="AG10">
            <v>2275.9899999999998</v>
          </cell>
          <cell r="AH10">
            <v>1205.1600000000001</v>
          </cell>
          <cell r="AI10">
            <v>580.71</v>
          </cell>
        </row>
        <row r="11">
          <cell r="A11" t="str">
            <v>אינישיה בע"מ</v>
          </cell>
          <cell r="B11">
            <v>2005</v>
          </cell>
          <cell r="C11">
            <v>11</v>
          </cell>
          <cell r="D11">
            <v>215</v>
          </cell>
          <cell r="E11" t="str">
            <v>בלואוסב  אלכסנדר</v>
          </cell>
          <cell r="F11" t="str">
            <v>תוכנה</v>
          </cell>
          <cell r="G11">
            <v>0</v>
          </cell>
          <cell r="H11">
            <v>14757</v>
          </cell>
          <cell r="I11">
            <v>14757</v>
          </cell>
          <cell r="J11">
            <v>177.5</v>
          </cell>
          <cell r="K11">
            <v>585</v>
          </cell>
          <cell r="L11">
            <v>591.42999999999995</v>
          </cell>
          <cell r="M11">
            <v>0</v>
          </cell>
          <cell r="N11">
            <v>47.01</v>
          </cell>
          <cell r="R11">
            <v>16351.94</v>
          </cell>
          <cell r="S11">
            <v>3248.46</v>
          </cell>
          <cell r="T11">
            <v>177.5</v>
          </cell>
          <cell r="U11">
            <v>195</v>
          </cell>
          <cell r="W11">
            <v>0</v>
          </cell>
          <cell r="X11">
            <v>1327.04</v>
          </cell>
          <cell r="Y11">
            <v>10004</v>
          </cell>
          <cell r="AA11">
            <v>10004</v>
          </cell>
          <cell r="AB11">
            <v>4</v>
          </cell>
          <cell r="AC11" t="str">
            <v>בלואוסב  אלכסנדר</v>
          </cell>
          <cell r="AD11" t="str">
            <v>תוכנה</v>
          </cell>
          <cell r="AE11">
            <v>4</v>
          </cell>
          <cell r="AF11">
            <v>11</v>
          </cell>
          <cell r="AG11">
            <v>1594.94</v>
          </cell>
          <cell r="AH11">
            <v>4575.5</v>
          </cell>
          <cell r="AI11">
            <v>340.71</v>
          </cell>
        </row>
        <row r="12">
          <cell r="A12" t="str">
            <v>אינישיה בע"מ</v>
          </cell>
          <cell r="B12">
            <v>2005</v>
          </cell>
          <cell r="C12">
            <v>11</v>
          </cell>
          <cell r="D12">
            <v>218</v>
          </cell>
          <cell r="E12" t="str">
            <v>ארד  משה</v>
          </cell>
          <cell r="F12" t="str">
            <v>אלקטרוניקה</v>
          </cell>
          <cell r="G12">
            <v>0</v>
          </cell>
          <cell r="H12">
            <v>16538</v>
          </cell>
          <cell r="I12">
            <v>16538</v>
          </cell>
          <cell r="J12">
            <v>567.75</v>
          </cell>
          <cell r="K12">
            <v>851.63</v>
          </cell>
          <cell r="L12">
            <v>945.87</v>
          </cell>
          <cell r="M12">
            <v>0</v>
          </cell>
          <cell r="N12">
            <v>115.12</v>
          </cell>
          <cell r="R12">
            <v>19830.419999999998</v>
          </cell>
          <cell r="S12">
            <v>2717.47</v>
          </cell>
          <cell r="T12">
            <v>567.75</v>
          </cell>
          <cell r="U12">
            <v>283.88</v>
          </cell>
          <cell r="W12">
            <v>0</v>
          </cell>
          <cell r="X12">
            <v>1511.9</v>
          </cell>
          <cell r="Y12">
            <v>11457</v>
          </cell>
          <cell r="AA12">
            <v>11457</v>
          </cell>
          <cell r="AB12">
            <v>4</v>
          </cell>
          <cell r="AC12" t="str">
            <v>ארד  משה</v>
          </cell>
          <cell r="AD12" t="str">
            <v>אלקטרוניקה</v>
          </cell>
          <cell r="AE12">
            <v>4</v>
          </cell>
          <cell r="AF12">
            <v>11</v>
          </cell>
          <cell r="AG12">
            <v>3292.42</v>
          </cell>
          <cell r="AH12">
            <v>4229.37</v>
          </cell>
          <cell r="AI12">
            <v>400.71</v>
          </cell>
        </row>
        <row r="13">
          <cell r="A13" t="str">
            <v>אינישיה בע"מ</v>
          </cell>
          <cell r="B13">
            <v>2005</v>
          </cell>
          <cell r="C13">
            <v>11</v>
          </cell>
          <cell r="D13">
            <v>221</v>
          </cell>
          <cell r="E13" t="str">
            <v>גור  אסף</v>
          </cell>
          <cell r="F13" t="str">
            <v>נ.פרויקטים</v>
          </cell>
          <cell r="G13">
            <v>0</v>
          </cell>
          <cell r="H13">
            <v>16408</v>
          </cell>
          <cell r="I13">
            <v>15118</v>
          </cell>
          <cell r="J13">
            <v>743.4</v>
          </cell>
          <cell r="K13">
            <v>1115.0999999999999</v>
          </cell>
          <cell r="L13">
            <v>1238.5</v>
          </cell>
          <cell r="M13">
            <v>241.3</v>
          </cell>
          <cell r="N13">
            <v>86.9</v>
          </cell>
          <cell r="R13">
            <v>19376.09</v>
          </cell>
          <cell r="S13">
            <v>3779.49</v>
          </cell>
          <cell r="T13">
            <v>743.4</v>
          </cell>
          <cell r="U13">
            <v>371.7</v>
          </cell>
          <cell r="W13">
            <v>0</v>
          </cell>
          <cell r="X13">
            <v>1498.41</v>
          </cell>
          <cell r="Y13">
            <v>8725</v>
          </cell>
          <cell r="Z13">
            <v>-75</v>
          </cell>
          <cell r="AA13">
            <v>7417</v>
          </cell>
          <cell r="AB13">
            <v>4</v>
          </cell>
          <cell r="AC13" t="str">
            <v>גלבר  דיילי</v>
          </cell>
          <cell r="AD13" t="str">
            <v>Risk</v>
          </cell>
          <cell r="AE13">
            <v>4</v>
          </cell>
          <cell r="AF13">
            <v>12</v>
          </cell>
          <cell r="AG13">
            <v>2249.71</v>
          </cell>
          <cell r="AH13">
            <v>1077</v>
          </cell>
          <cell r="AI13">
            <v>378.65</v>
          </cell>
        </row>
        <row r="14">
          <cell r="A14" t="str">
            <v>אינישיה בע"מ</v>
          </cell>
          <cell r="B14">
            <v>2005</v>
          </cell>
          <cell r="C14">
            <v>11</v>
          </cell>
          <cell r="D14">
            <v>223</v>
          </cell>
          <cell r="E14" t="str">
            <v>פרידמן  בלה</v>
          </cell>
          <cell r="F14" t="str">
            <v>שיווק</v>
          </cell>
          <cell r="G14">
            <v>0</v>
          </cell>
          <cell r="H14">
            <v>8155.9</v>
          </cell>
          <cell r="I14">
            <v>8155.9</v>
          </cell>
          <cell r="J14">
            <v>407.8</v>
          </cell>
          <cell r="K14">
            <v>611.69000000000005</v>
          </cell>
          <cell r="L14">
            <v>679.39</v>
          </cell>
          <cell r="M14">
            <v>119.89</v>
          </cell>
          <cell r="N14">
            <v>4.59</v>
          </cell>
          <cell r="R14">
            <v>10425.74</v>
          </cell>
          <cell r="S14">
            <v>2916.36</v>
          </cell>
          <cell r="T14">
            <v>407.8</v>
          </cell>
          <cell r="U14">
            <v>203.9</v>
          </cell>
          <cell r="W14">
            <v>0</v>
          </cell>
          <cell r="X14">
            <v>641.84</v>
          </cell>
          <cell r="Y14">
            <v>695.52</v>
          </cell>
          <cell r="AA14">
            <v>3986</v>
          </cell>
          <cell r="AB14">
            <v>4</v>
          </cell>
          <cell r="AC14" t="str">
            <v>פרידמן  בלה</v>
          </cell>
          <cell r="AD14" t="str">
            <v>שיווק</v>
          </cell>
          <cell r="AE14">
            <v>4</v>
          </cell>
          <cell r="AF14">
            <v>11</v>
          </cell>
          <cell r="AG14">
            <v>2269.84</v>
          </cell>
          <cell r="AH14">
            <v>3558.2</v>
          </cell>
          <cell r="AI14">
            <v>21.6</v>
          </cell>
        </row>
        <row r="15">
          <cell r="A15" t="str">
            <v>אינישיה בע"מ</v>
          </cell>
          <cell r="B15">
            <v>2005</v>
          </cell>
          <cell r="C15">
            <v>11</v>
          </cell>
          <cell r="D15">
            <v>224</v>
          </cell>
          <cell r="E15" t="str">
            <v>ששוב  נטליה</v>
          </cell>
          <cell r="F15" t="str">
            <v>פיזיקה</v>
          </cell>
          <cell r="G15">
            <v>0</v>
          </cell>
          <cell r="H15">
            <v>13512.81</v>
          </cell>
          <cell r="I15">
            <v>13512.81</v>
          </cell>
          <cell r="J15">
            <v>675.64</v>
          </cell>
          <cell r="K15">
            <v>1013.46</v>
          </cell>
          <cell r="L15">
            <v>1125.6199999999999</v>
          </cell>
          <cell r="M15">
            <v>0</v>
          </cell>
          <cell r="N15">
            <v>15.8</v>
          </cell>
          <cell r="R15">
            <v>17082.87</v>
          </cell>
          <cell r="S15">
            <v>2530.46</v>
          </cell>
          <cell r="T15">
            <v>675.64</v>
          </cell>
          <cell r="U15">
            <v>337.82</v>
          </cell>
          <cell r="W15">
            <v>0</v>
          </cell>
          <cell r="X15">
            <v>1539</v>
          </cell>
          <cell r="Y15">
            <v>11279</v>
          </cell>
          <cell r="AA15">
            <v>8771</v>
          </cell>
          <cell r="AB15">
            <v>4</v>
          </cell>
          <cell r="AC15" t="str">
            <v>ששוב  נטליה</v>
          </cell>
          <cell r="AD15" t="str">
            <v>פיזיקה</v>
          </cell>
          <cell r="AE15">
            <v>4</v>
          </cell>
          <cell r="AF15">
            <v>11</v>
          </cell>
          <cell r="AG15">
            <v>3570.06</v>
          </cell>
          <cell r="AH15">
            <v>3728.35</v>
          </cell>
          <cell r="AI15">
            <v>441.6</v>
          </cell>
        </row>
        <row r="16">
          <cell r="A16" t="str">
            <v>אינישיה בע"מ</v>
          </cell>
          <cell r="B16">
            <v>2005</v>
          </cell>
          <cell r="C16">
            <v>11</v>
          </cell>
          <cell r="D16">
            <v>226</v>
          </cell>
          <cell r="E16" t="str">
            <v>לוסקין  אלכסנדר</v>
          </cell>
          <cell r="F16" t="str">
            <v>אלקטרוניקה</v>
          </cell>
          <cell r="G16">
            <v>0</v>
          </cell>
          <cell r="H16">
            <v>16291</v>
          </cell>
          <cell r="I16">
            <v>15151</v>
          </cell>
          <cell r="J16">
            <v>757.55</v>
          </cell>
          <cell r="K16">
            <v>1136.33</v>
          </cell>
          <cell r="L16">
            <v>1262.08</v>
          </cell>
          <cell r="M16">
            <v>0</v>
          </cell>
          <cell r="N16">
            <v>184.89</v>
          </cell>
          <cell r="R16">
            <v>19220.099999999999</v>
          </cell>
          <cell r="S16">
            <v>3735.41</v>
          </cell>
          <cell r="T16">
            <v>757.55</v>
          </cell>
          <cell r="U16">
            <v>378.78</v>
          </cell>
          <cell r="W16">
            <v>0</v>
          </cell>
          <cell r="X16">
            <v>1529.4</v>
          </cell>
          <cell r="Y16">
            <v>11314</v>
          </cell>
          <cell r="AA16">
            <v>8793</v>
          </cell>
          <cell r="AB16">
            <v>4</v>
          </cell>
          <cell r="AC16" t="str">
            <v>לוסקין  אלכסנדר</v>
          </cell>
          <cell r="AD16" t="str">
            <v>אלקטרוניקה</v>
          </cell>
          <cell r="AE16">
            <v>4</v>
          </cell>
          <cell r="AF16">
            <v>11</v>
          </cell>
          <cell r="AG16">
            <v>4069.1</v>
          </cell>
          <cell r="AH16">
            <v>5221.67</v>
          </cell>
          <cell r="AI16">
            <v>1140</v>
          </cell>
        </row>
        <row r="17">
          <cell r="A17" t="str">
            <v>אינישיה בע"מ</v>
          </cell>
          <cell r="B17">
            <v>2005</v>
          </cell>
          <cell r="C17">
            <v>11</v>
          </cell>
          <cell r="D17">
            <v>229</v>
          </cell>
          <cell r="E17" t="str">
            <v>הילסנרד  מיכאל</v>
          </cell>
          <cell r="F17" t="str">
            <v>אלקטרוניקה</v>
          </cell>
          <cell r="G17">
            <v>0</v>
          </cell>
          <cell r="H17">
            <v>22734.5</v>
          </cell>
          <cell r="I17">
            <v>21444.5</v>
          </cell>
          <cell r="J17">
            <v>1072.23</v>
          </cell>
          <cell r="K17">
            <v>1178.4000000000001</v>
          </cell>
          <cell r="L17">
            <v>1786.33</v>
          </cell>
          <cell r="M17">
            <v>0</v>
          </cell>
          <cell r="N17">
            <v>9.51</v>
          </cell>
          <cell r="R17">
            <v>26760.59</v>
          </cell>
          <cell r="S17">
            <v>6127.37</v>
          </cell>
          <cell r="T17">
            <v>1072.23</v>
          </cell>
          <cell r="U17">
            <v>392.8</v>
          </cell>
          <cell r="W17">
            <v>0</v>
          </cell>
          <cell r="X17">
            <v>2155.1</v>
          </cell>
          <cell r="Y17">
            <v>11697</v>
          </cell>
          <cell r="AA17">
            <v>11697</v>
          </cell>
          <cell r="AB17">
            <v>4</v>
          </cell>
          <cell r="AC17" t="str">
            <v>הילסנרד  מיכאל</v>
          </cell>
          <cell r="AD17" t="str">
            <v>אלקטרוניקה</v>
          </cell>
          <cell r="AE17">
            <v>4</v>
          </cell>
          <cell r="AF17">
            <v>11</v>
          </cell>
          <cell r="AG17">
            <v>5316.09</v>
          </cell>
          <cell r="AH17">
            <v>8282.4699999999993</v>
          </cell>
          <cell r="AI17">
            <v>1290</v>
          </cell>
        </row>
        <row r="18">
          <cell r="A18" t="str">
            <v>אינישיה בע"מ</v>
          </cell>
          <cell r="B18">
            <v>2005</v>
          </cell>
          <cell r="C18">
            <v>11</v>
          </cell>
          <cell r="D18">
            <v>230</v>
          </cell>
          <cell r="E18" t="str">
            <v>לובויקו  ולדמיר</v>
          </cell>
          <cell r="F18" t="str">
            <v>מכניקה</v>
          </cell>
          <cell r="G18">
            <v>0</v>
          </cell>
          <cell r="H18">
            <v>6258</v>
          </cell>
          <cell r="I18">
            <v>6258</v>
          </cell>
          <cell r="J18">
            <v>219.03</v>
          </cell>
          <cell r="K18">
            <v>1200</v>
          </cell>
          <cell r="L18">
            <v>364.91</v>
          </cell>
          <cell r="M18">
            <v>0</v>
          </cell>
          <cell r="N18">
            <v>86.55</v>
          </cell>
          <cell r="R18">
            <v>7185.21</v>
          </cell>
          <cell r="S18">
            <v>442.13</v>
          </cell>
          <cell r="T18">
            <v>219.03</v>
          </cell>
          <cell r="U18">
            <v>400</v>
          </cell>
          <cell r="W18">
            <v>0</v>
          </cell>
          <cell r="X18">
            <v>1503</v>
          </cell>
          <cell r="Y18">
            <v>11408</v>
          </cell>
          <cell r="AA18">
            <v>5152</v>
          </cell>
          <cell r="AB18">
            <v>4</v>
          </cell>
          <cell r="AC18" t="str">
            <v>לובויקו  ולדמיר</v>
          </cell>
          <cell r="AD18" t="str">
            <v>מכניקה</v>
          </cell>
          <cell r="AE18">
            <v>4</v>
          </cell>
          <cell r="AF18">
            <v>11</v>
          </cell>
          <cell r="AG18">
            <v>927.21</v>
          </cell>
          <cell r="AH18">
            <v>886.97</v>
          </cell>
          <cell r="AI18">
            <v>141.6</v>
          </cell>
        </row>
        <row r="19">
          <cell r="A19" t="str">
            <v>אינישיה בע"מ</v>
          </cell>
          <cell r="B19">
            <v>2005</v>
          </cell>
          <cell r="C19">
            <v>11</v>
          </cell>
          <cell r="D19">
            <v>232</v>
          </cell>
          <cell r="E19" t="str">
            <v>הוכמן  יוסף</v>
          </cell>
          <cell r="F19" t="str">
            <v>שיווק</v>
          </cell>
          <cell r="G19">
            <v>0</v>
          </cell>
          <cell r="H19">
            <v>19717.02</v>
          </cell>
          <cell r="I19">
            <v>18427.02</v>
          </cell>
          <cell r="J19">
            <v>909.85</v>
          </cell>
          <cell r="K19">
            <v>1178.4000000000001</v>
          </cell>
          <cell r="L19">
            <v>1515.81</v>
          </cell>
          <cell r="M19">
            <v>335.61</v>
          </cell>
          <cell r="N19">
            <v>69.540000000000006</v>
          </cell>
          <cell r="R19">
            <v>23474.43</v>
          </cell>
          <cell r="S19">
            <v>5003.49</v>
          </cell>
          <cell r="T19">
            <v>909.85</v>
          </cell>
          <cell r="U19">
            <v>392.8</v>
          </cell>
          <cell r="W19">
            <v>0</v>
          </cell>
          <cell r="X19">
            <v>1527</v>
          </cell>
          <cell r="Y19">
            <v>11322</v>
          </cell>
          <cell r="AA19">
            <v>10279</v>
          </cell>
          <cell r="AB19">
            <v>4</v>
          </cell>
          <cell r="AC19" t="str">
            <v>הוכמן  יוסף</v>
          </cell>
          <cell r="AD19" t="str">
            <v>שיווק</v>
          </cell>
          <cell r="AE19">
            <v>4</v>
          </cell>
          <cell r="AF19">
            <v>11</v>
          </cell>
          <cell r="AG19">
            <v>5047.41</v>
          </cell>
          <cell r="AH19">
            <v>6845.37</v>
          </cell>
          <cell r="AI19">
            <v>1290</v>
          </cell>
        </row>
        <row r="20">
          <cell r="A20" t="str">
            <v>אינישיה בע"מ</v>
          </cell>
          <cell r="B20">
            <v>2005</v>
          </cell>
          <cell r="C20">
            <v>11</v>
          </cell>
          <cell r="D20">
            <v>234</v>
          </cell>
          <cell r="E20" t="str">
            <v>בלעום  חאלד</v>
          </cell>
          <cell r="F20" t="str">
            <v>נ.פרויקטים</v>
          </cell>
          <cell r="G20">
            <v>0</v>
          </cell>
          <cell r="H20">
            <v>14645.9</v>
          </cell>
          <cell r="I20">
            <v>13355.9</v>
          </cell>
          <cell r="J20">
            <v>667.8</v>
          </cell>
          <cell r="K20">
            <v>1212.04</v>
          </cell>
          <cell r="L20">
            <v>1112.55</v>
          </cell>
          <cell r="M20">
            <v>0</v>
          </cell>
          <cell r="N20">
            <v>9.1300000000000008</v>
          </cell>
          <cell r="R20">
            <v>15955.95</v>
          </cell>
          <cell r="S20">
            <v>3095.59</v>
          </cell>
          <cell r="T20">
            <v>667.8</v>
          </cell>
          <cell r="U20">
            <v>404.01</v>
          </cell>
          <cell r="W20">
            <v>0</v>
          </cell>
          <cell r="X20">
            <v>1315.51</v>
          </cell>
          <cell r="Y20">
            <v>1521.32</v>
          </cell>
          <cell r="Z20">
            <v>-238.3</v>
          </cell>
          <cell r="AA20">
            <v>12673</v>
          </cell>
          <cell r="AB20">
            <v>3</v>
          </cell>
          <cell r="AC20" t="str">
            <v>בן כהן  רונן</v>
          </cell>
          <cell r="AD20" t="str">
            <v>פיתוח</v>
          </cell>
          <cell r="AE20">
            <v>3</v>
          </cell>
          <cell r="AF20">
            <v>7</v>
          </cell>
          <cell r="AG20">
            <v>4602.68</v>
          </cell>
          <cell r="AH20">
            <v>4789.5200000000004</v>
          </cell>
          <cell r="AI20">
            <v>393.64</v>
          </cell>
        </row>
        <row r="21">
          <cell r="A21" t="str">
            <v>אינישיה בע"מ</v>
          </cell>
          <cell r="B21">
            <v>2005</v>
          </cell>
          <cell r="C21">
            <v>11</v>
          </cell>
          <cell r="D21">
            <v>235</v>
          </cell>
          <cell r="E21" t="str">
            <v>דהרי  יזרח</v>
          </cell>
          <cell r="F21" t="str">
            <v>אלקטרוניקה</v>
          </cell>
          <cell r="G21">
            <v>0</v>
          </cell>
          <cell r="H21">
            <v>5585.3</v>
          </cell>
          <cell r="I21">
            <v>5585.3</v>
          </cell>
          <cell r="J21">
            <v>203.27</v>
          </cell>
          <cell r="K21">
            <v>1200</v>
          </cell>
          <cell r="L21">
            <v>338.64</v>
          </cell>
          <cell r="M21">
            <v>0</v>
          </cell>
          <cell r="N21">
            <v>7.3</v>
          </cell>
          <cell r="R21">
            <v>6432.27</v>
          </cell>
          <cell r="S21">
            <v>291.02</v>
          </cell>
          <cell r="T21">
            <v>203.27</v>
          </cell>
          <cell r="U21">
            <v>400</v>
          </cell>
          <cell r="W21">
            <v>0</v>
          </cell>
          <cell r="X21">
            <v>1515</v>
          </cell>
          <cell r="Y21">
            <v>11365</v>
          </cell>
          <cell r="AA21">
            <v>4716</v>
          </cell>
          <cell r="AB21">
            <v>4</v>
          </cell>
          <cell r="AC21" t="str">
            <v>דהרי  יזרח</v>
          </cell>
          <cell r="AD21" t="str">
            <v>אלקטרוניקה</v>
          </cell>
          <cell r="AE21">
            <v>4</v>
          </cell>
          <cell r="AF21">
            <v>11</v>
          </cell>
          <cell r="AG21">
            <v>846.97</v>
          </cell>
          <cell r="AH21">
            <v>666.03</v>
          </cell>
          <cell r="AI21">
            <v>241.6</v>
          </cell>
        </row>
        <row r="22">
          <cell r="A22" t="str">
            <v>אינישיה בע"מ</v>
          </cell>
          <cell r="B22">
            <v>2005</v>
          </cell>
          <cell r="C22">
            <v>11</v>
          </cell>
          <cell r="D22">
            <v>236</v>
          </cell>
          <cell r="E22" t="str">
            <v>למברגר  יובל</v>
          </cell>
          <cell r="F22" t="str">
            <v>QA</v>
          </cell>
          <cell r="G22">
            <v>0</v>
          </cell>
          <cell r="H22">
            <v>17165</v>
          </cell>
          <cell r="I22">
            <v>17165</v>
          </cell>
          <cell r="J22">
            <v>798.25</v>
          </cell>
          <cell r="K22">
            <v>1178.4000000000001</v>
          </cell>
          <cell r="L22">
            <v>1329.88</v>
          </cell>
          <cell r="M22">
            <v>144.84</v>
          </cell>
          <cell r="N22">
            <v>0.82</v>
          </cell>
          <cell r="R22">
            <v>21579.15</v>
          </cell>
          <cell r="S22">
            <v>4014.97</v>
          </cell>
          <cell r="T22">
            <v>798.25</v>
          </cell>
          <cell r="U22">
            <v>392.8</v>
          </cell>
          <cell r="W22">
            <v>0</v>
          </cell>
          <cell r="X22">
            <v>1592.6</v>
          </cell>
          <cell r="Y22">
            <v>11374</v>
          </cell>
          <cell r="Z22">
            <v>-25</v>
          </cell>
          <cell r="AA22">
            <v>11374</v>
          </cell>
          <cell r="AB22">
            <v>3</v>
          </cell>
          <cell r="AC22" t="str">
            <v>בן כהן  רונן</v>
          </cell>
          <cell r="AD22" t="str">
            <v>פיתוח</v>
          </cell>
          <cell r="AE22">
            <v>3</v>
          </cell>
          <cell r="AF22">
            <v>9</v>
          </cell>
          <cell r="AG22">
            <v>4437.42</v>
          </cell>
          <cell r="AH22">
            <v>3958.66</v>
          </cell>
          <cell r="AI22">
            <v>601.6</v>
          </cell>
        </row>
        <row r="23">
          <cell r="A23" t="str">
            <v>אינישיה בע"מ</v>
          </cell>
          <cell r="B23">
            <v>2005</v>
          </cell>
          <cell r="C23">
            <v>11</v>
          </cell>
          <cell r="D23">
            <v>237</v>
          </cell>
          <cell r="E23" t="str">
            <v>ברון  ברוך</v>
          </cell>
          <cell r="F23" t="str">
            <v>SQA</v>
          </cell>
          <cell r="G23">
            <v>0</v>
          </cell>
          <cell r="H23">
            <v>11155.9</v>
          </cell>
          <cell r="I23">
            <v>11155.9</v>
          </cell>
          <cell r="J23">
            <v>522.79999999999995</v>
          </cell>
          <cell r="K23">
            <v>1200</v>
          </cell>
          <cell r="L23">
            <v>870.98</v>
          </cell>
          <cell r="M23">
            <v>0</v>
          </cell>
          <cell r="N23">
            <v>3.58</v>
          </cell>
          <cell r="R23">
            <v>13171.15</v>
          </cell>
          <cell r="S23">
            <v>1818.86</v>
          </cell>
          <cell r="T23">
            <v>522.79999999999995</v>
          </cell>
          <cell r="U23">
            <v>400</v>
          </cell>
          <cell r="W23">
            <v>0</v>
          </cell>
          <cell r="X23">
            <v>953.24</v>
          </cell>
          <cell r="Y23">
            <v>596.62</v>
          </cell>
          <cell r="Z23">
            <v>0</v>
          </cell>
          <cell r="AA23">
            <v>7861</v>
          </cell>
          <cell r="AB23">
            <v>4</v>
          </cell>
          <cell r="AC23" t="str">
            <v>ברון  ברוך</v>
          </cell>
          <cell r="AD23" t="str">
            <v>SQA</v>
          </cell>
          <cell r="AE23">
            <v>4</v>
          </cell>
          <cell r="AF23">
            <v>11</v>
          </cell>
          <cell r="AG23">
            <v>2015.25</v>
          </cell>
          <cell r="AH23">
            <v>2772.1</v>
          </cell>
          <cell r="AI23">
            <v>341.6</v>
          </cell>
        </row>
        <row r="24">
          <cell r="A24" t="str">
            <v>אינישיה בע"מ</v>
          </cell>
          <cell r="B24">
            <v>2005</v>
          </cell>
          <cell r="C24">
            <v>11</v>
          </cell>
          <cell r="D24">
            <v>241</v>
          </cell>
          <cell r="E24" t="str">
            <v>רשתוניק  אורי</v>
          </cell>
          <cell r="F24" t="str">
            <v>תוכנה</v>
          </cell>
          <cell r="G24">
            <v>0</v>
          </cell>
          <cell r="H24">
            <v>12924</v>
          </cell>
          <cell r="I24">
            <v>12924</v>
          </cell>
          <cell r="J24">
            <v>427.84</v>
          </cell>
          <cell r="K24">
            <v>1200</v>
          </cell>
          <cell r="L24">
            <v>712.78</v>
          </cell>
          <cell r="M24">
            <v>85.57</v>
          </cell>
          <cell r="N24">
            <v>1.02</v>
          </cell>
          <cell r="R24">
            <v>14872.09</v>
          </cell>
          <cell r="S24">
            <v>2507.39</v>
          </cell>
          <cell r="T24">
            <v>427.84</v>
          </cell>
          <cell r="U24">
            <v>400</v>
          </cell>
          <cell r="W24">
            <v>0</v>
          </cell>
          <cell r="X24">
            <v>1136.77</v>
          </cell>
          <cell r="Y24">
            <v>169.2</v>
          </cell>
          <cell r="Z24">
            <v>0</v>
          </cell>
          <cell r="AA24">
            <v>8852</v>
          </cell>
          <cell r="AB24">
            <v>4</v>
          </cell>
          <cell r="AC24" t="str">
            <v>רשתוניק  אורי</v>
          </cell>
          <cell r="AD24" t="str">
            <v>תוכנה</v>
          </cell>
          <cell r="AE24">
            <v>4</v>
          </cell>
          <cell r="AF24">
            <v>11</v>
          </cell>
          <cell r="AG24">
            <v>1948.09</v>
          </cell>
          <cell r="AH24">
            <v>3644.16</v>
          </cell>
          <cell r="AI24">
            <v>381.6</v>
          </cell>
        </row>
        <row r="25">
          <cell r="A25" t="str">
            <v>אינישיה בע"מ</v>
          </cell>
          <cell r="B25">
            <v>2005</v>
          </cell>
          <cell r="C25">
            <v>11</v>
          </cell>
          <cell r="D25">
            <v>244</v>
          </cell>
          <cell r="E25" t="str">
            <v>וייס  אתי</v>
          </cell>
          <cell r="F25" t="str">
            <v>מכניקה</v>
          </cell>
          <cell r="G25">
            <v>0</v>
          </cell>
          <cell r="H25">
            <v>12017</v>
          </cell>
          <cell r="I25">
            <v>12017</v>
          </cell>
          <cell r="J25">
            <v>409.5</v>
          </cell>
          <cell r="K25">
            <v>614.25</v>
          </cell>
          <cell r="L25">
            <v>682.23</v>
          </cell>
          <cell r="M25">
            <v>0</v>
          </cell>
          <cell r="N25">
            <v>5.74</v>
          </cell>
          <cell r="R25">
            <v>14393.36</v>
          </cell>
          <cell r="S25">
            <v>2094.38</v>
          </cell>
          <cell r="T25">
            <v>382.25</v>
          </cell>
          <cell r="U25">
            <v>204.75</v>
          </cell>
          <cell r="W25">
            <v>0</v>
          </cell>
          <cell r="X25">
            <v>1042.6199999999999</v>
          </cell>
          <cell r="Y25">
            <v>956.64</v>
          </cell>
          <cell r="Z25">
            <v>-8279.2099999999991</v>
          </cell>
          <cell r="AA25">
            <v>8293</v>
          </cell>
          <cell r="AB25">
            <v>4</v>
          </cell>
          <cell r="AC25" t="str">
            <v>וייס  אתי</v>
          </cell>
          <cell r="AD25" t="str">
            <v>מכניקה</v>
          </cell>
          <cell r="AE25">
            <v>4</v>
          </cell>
          <cell r="AF25">
            <v>11</v>
          </cell>
          <cell r="AG25">
            <v>2376.36</v>
          </cell>
          <cell r="AH25">
            <v>3137</v>
          </cell>
          <cell r="AI25">
            <v>341.6</v>
          </cell>
        </row>
        <row r="26">
          <cell r="A26" t="str">
            <v>אינישיה בע"מ</v>
          </cell>
          <cell r="B26">
            <v>2005</v>
          </cell>
          <cell r="C26">
            <v>11</v>
          </cell>
          <cell r="D26">
            <v>245</v>
          </cell>
          <cell r="E26" t="str">
            <v>רודין  אלכסנדר</v>
          </cell>
          <cell r="F26" t="str">
            <v>אלקטרוניקה</v>
          </cell>
          <cell r="G26">
            <v>0</v>
          </cell>
          <cell r="H26">
            <v>9817</v>
          </cell>
          <cell r="I26">
            <v>9817</v>
          </cell>
          <cell r="J26">
            <v>475</v>
          </cell>
          <cell r="K26">
            <v>1178.4000000000001</v>
          </cell>
          <cell r="L26">
            <v>791.35</v>
          </cell>
          <cell r="M26">
            <v>0</v>
          </cell>
          <cell r="N26">
            <v>7.94</v>
          </cell>
          <cell r="R26">
            <v>11629.03</v>
          </cell>
          <cell r="S26">
            <v>23865.8</v>
          </cell>
          <cell r="T26">
            <v>475</v>
          </cell>
          <cell r="U26">
            <v>392.8</v>
          </cell>
          <cell r="W26">
            <v>0</v>
          </cell>
          <cell r="X26">
            <v>814</v>
          </cell>
          <cell r="Y26">
            <v>1323.52</v>
          </cell>
          <cell r="Z26">
            <v>-26640.86</v>
          </cell>
          <cell r="AA26">
            <v>8528</v>
          </cell>
          <cell r="AB26">
            <v>4</v>
          </cell>
          <cell r="AC26" t="str">
            <v>רודין  אלכסנדר</v>
          </cell>
          <cell r="AD26" t="str">
            <v>אלקטרוניקה</v>
          </cell>
          <cell r="AE26">
            <v>4</v>
          </cell>
          <cell r="AF26">
            <v>11</v>
          </cell>
          <cell r="AG26">
            <v>1812.03</v>
          </cell>
          <cell r="AH26">
            <v>814</v>
          </cell>
          <cell r="AI26">
            <v>3265</v>
          </cell>
        </row>
        <row r="27">
          <cell r="A27" t="str">
            <v>אינישיה בע"מ</v>
          </cell>
          <cell r="B27">
            <v>2005</v>
          </cell>
          <cell r="C27">
            <v>11</v>
          </cell>
          <cell r="D27">
            <v>246</v>
          </cell>
          <cell r="E27" t="str">
            <v>אורחוב  ולנטינה</v>
          </cell>
          <cell r="F27" t="str">
            <v>הנדסה</v>
          </cell>
          <cell r="G27">
            <v>0</v>
          </cell>
          <cell r="H27">
            <v>6817</v>
          </cell>
          <cell r="I27">
            <v>6817</v>
          </cell>
          <cell r="J27">
            <v>227.5</v>
          </cell>
          <cell r="K27">
            <v>1178.4000000000001</v>
          </cell>
          <cell r="L27">
            <v>379.02</v>
          </cell>
          <cell r="M27">
            <v>0</v>
          </cell>
          <cell r="N27">
            <v>1.86</v>
          </cell>
          <cell r="R27">
            <v>7798.54</v>
          </cell>
          <cell r="S27">
            <v>479.64</v>
          </cell>
          <cell r="T27">
            <v>227.5</v>
          </cell>
          <cell r="U27">
            <v>392.8</v>
          </cell>
          <cell r="W27">
            <v>0</v>
          </cell>
          <cell r="X27">
            <v>502.86</v>
          </cell>
          <cell r="Y27">
            <v>310.38</v>
          </cell>
          <cell r="Z27">
            <v>-8279.2099999999991</v>
          </cell>
          <cell r="AA27">
            <v>5607</v>
          </cell>
          <cell r="AB27">
            <v>4</v>
          </cell>
          <cell r="AC27" t="str">
            <v>אורחוב  ולנטינה</v>
          </cell>
          <cell r="AD27" t="str">
            <v>הנדסה</v>
          </cell>
          <cell r="AE27">
            <v>4</v>
          </cell>
          <cell r="AF27">
            <v>11</v>
          </cell>
          <cell r="AG27">
            <v>981.54</v>
          </cell>
          <cell r="AH27">
            <v>982.5</v>
          </cell>
          <cell r="AI27">
            <v>3565</v>
          </cell>
        </row>
        <row r="28">
          <cell r="A28" t="str">
            <v>אינישיה בע"מ</v>
          </cell>
          <cell r="B28">
            <v>2005</v>
          </cell>
          <cell r="C28">
            <v>11</v>
          </cell>
          <cell r="D28">
            <v>247</v>
          </cell>
          <cell r="E28" t="str">
            <v>מנצור  אליצור</v>
          </cell>
          <cell r="F28" t="str">
            <v>הנדסה</v>
          </cell>
          <cell r="G28">
            <v>0</v>
          </cell>
          <cell r="H28">
            <v>14347</v>
          </cell>
          <cell r="I28">
            <v>14347</v>
          </cell>
          <cell r="J28">
            <v>491.05</v>
          </cell>
          <cell r="K28">
            <v>736.58</v>
          </cell>
          <cell r="L28">
            <v>818.09</v>
          </cell>
          <cell r="M28">
            <v>0</v>
          </cell>
          <cell r="N28">
            <v>0.98</v>
          </cell>
          <cell r="R28">
            <v>17195.439999999999</v>
          </cell>
          <cell r="S28">
            <v>3001.94</v>
          </cell>
          <cell r="T28">
            <v>491.05</v>
          </cell>
          <cell r="U28">
            <v>245.53</v>
          </cell>
          <cell r="W28">
            <v>0</v>
          </cell>
          <cell r="X28">
            <v>1284.48</v>
          </cell>
          <cell r="Y28">
            <v>163.22999999999999</v>
          </cell>
          <cell r="Z28">
            <v>-4910.3999999999996</v>
          </cell>
          <cell r="AA28">
            <v>9324</v>
          </cell>
          <cell r="AB28">
            <v>4</v>
          </cell>
          <cell r="AC28" t="str">
            <v>מנצור  אליצור</v>
          </cell>
          <cell r="AD28" t="str">
            <v>הנדסה</v>
          </cell>
          <cell r="AE28">
            <v>4</v>
          </cell>
          <cell r="AF28">
            <v>11</v>
          </cell>
          <cell r="AG28">
            <v>2848.44</v>
          </cell>
          <cell r="AH28">
            <v>4286.42</v>
          </cell>
          <cell r="AI28">
            <v>3505</v>
          </cell>
        </row>
        <row r="29">
          <cell r="A29" t="str">
            <v>אינישיה בע"מ</v>
          </cell>
          <cell r="B29">
            <v>2005</v>
          </cell>
          <cell r="C29">
            <v>11</v>
          </cell>
          <cell r="D29">
            <v>248</v>
          </cell>
          <cell r="E29" t="str">
            <v>נובוגרודסקי  מרינה</v>
          </cell>
          <cell r="F29" t="str">
            <v>הנדסה</v>
          </cell>
          <cell r="G29">
            <v>0</v>
          </cell>
          <cell r="H29">
            <v>5517</v>
          </cell>
          <cell r="I29">
            <v>5517</v>
          </cell>
          <cell r="J29">
            <v>182</v>
          </cell>
          <cell r="K29">
            <v>1178.4000000000001</v>
          </cell>
          <cell r="L29">
            <v>303.20999999999998</v>
          </cell>
          <cell r="M29">
            <v>0</v>
          </cell>
          <cell r="N29">
            <v>85.18</v>
          </cell>
          <cell r="R29">
            <v>6303.39</v>
          </cell>
          <cell r="S29">
            <v>192.08</v>
          </cell>
          <cell r="T29">
            <v>182</v>
          </cell>
          <cell r="U29">
            <v>392.8</v>
          </cell>
          <cell r="W29">
            <v>0</v>
          </cell>
          <cell r="X29">
            <v>367.92</v>
          </cell>
          <cell r="Y29">
            <v>4775</v>
          </cell>
          <cell r="Z29">
            <v>24711</v>
          </cell>
          <cell r="AA29">
            <v>4775</v>
          </cell>
          <cell r="AB29">
            <v>4</v>
          </cell>
          <cell r="AC29" t="str">
            <v>נובוגרודסקי  מרינה</v>
          </cell>
          <cell r="AD29" t="str">
            <v>הנדסה</v>
          </cell>
          <cell r="AE29">
            <v>4</v>
          </cell>
          <cell r="AF29">
            <v>11</v>
          </cell>
          <cell r="AG29">
            <v>786.39</v>
          </cell>
          <cell r="AH29">
            <v>560</v>
          </cell>
          <cell r="AI29">
            <v>4041</v>
          </cell>
        </row>
        <row r="30">
          <cell r="A30" t="str">
            <v>אינישיה בע"מ</v>
          </cell>
          <cell r="B30">
            <v>2005</v>
          </cell>
          <cell r="C30">
            <v>11</v>
          </cell>
          <cell r="D30">
            <v>253</v>
          </cell>
          <cell r="E30" t="str">
            <v>אוחנה בר חן  זוהר</v>
          </cell>
          <cell r="F30" t="str">
            <v>אדמנסטרציה</v>
          </cell>
          <cell r="G30">
            <v>0</v>
          </cell>
          <cell r="H30">
            <v>21290</v>
          </cell>
          <cell r="I30">
            <v>20000</v>
          </cell>
          <cell r="J30">
            <v>1000</v>
          </cell>
          <cell r="K30">
            <v>1178.4000000000001</v>
          </cell>
          <cell r="L30">
            <v>1666</v>
          </cell>
          <cell r="M30">
            <v>128.6</v>
          </cell>
          <cell r="N30">
            <v>30.04</v>
          </cell>
          <cell r="R30">
            <v>25170.080000000002</v>
          </cell>
          <cell r="S30">
            <v>5574.04</v>
          </cell>
          <cell r="T30">
            <v>1000</v>
          </cell>
          <cell r="U30">
            <v>392.8</v>
          </cell>
          <cell r="W30">
            <v>0</v>
          </cell>
          <cell r="X30">
            <v>2005.16</v>
          </cell>
          <cell r="Y30">
            <v>11028</v>
          </cell>
          <cell r="Z30">
            <v>30254.29</v>
          </cell>
          <cell r="AA30">
            <v>11028</v>
          </cell>
          <cell r="AB30">
            <v>4</v>
          </cell>
          <cell r="AC30" t="str">
            <v>אוחנה בר חן  זוהר</v>
          </cell>
          <cell r="AD30" t="str">
            <v>אדמנסטרציה</v>
          </cell>
          <cell r="AE30">
            <v>4</v>
          </cell>
          <cell r="AF30">
            <v>11</v>
          </cell>
          <cell r="AG30">
            <v>5170.08</v>
          </cell>
          <cell r="AH30">
            <v>7579.2</v>
          </cell>
          <cell r="AI30">
            <v>1290</v>
          </cell>
        </row>
        <row r="31">
          <cell r="A31" t="str">
            <v>אינישיה בע"מ</v>
          </cell>
          <cell r="B31">
            <v>2005</v>
          </cell>
          <cell r="C31">
            <v>11</v>
          </cell>
          <cell r="D31">
            <v>254</v>
          </cell>
          <cell r="E31" t="str">
            <v>פפילסקי  אינה</v>
          </cell>
          <cell r="F31" t="str">
            <v>SQA</v>
          </cell>
          <cell r="G31">
            <v>0</v>
          </cell>
          <cell r="H31">
            <v>13017</v>
          </cell>
          <cell r="I31">
            <v>13017</v>
          </cell>
          <cell r="J31">
            <v>635</v>
          </cell>
          <cell r="K31">
            <v>1178.4000000000001</v>
          </cell>
          <cell r="L31">
            <v>1057.9100000000001</v>
          </cell>
          <cell r="M31">
            <v>0</v>
          </cell>
          <cell r="N31">
            <v>71.42</v>
          </cell>
          <cell r="R31">
            <v>15437.09</v>
          </cell>
          <cell r="S31">
            <v>2257.58</v>
          </cell>
          <cell r="T31">
            <v>635</v>
          </cell>
          <cell r="U31">
            <v>392.8</v>
          </cell>
          <cell r="W31">
            <v>0</v>
          </cell>
          <cell r="X31">
            <v>1146.42</v>
          </cell>
          <cell r="Y31">
            <v>8978</v>
          </cell>
          <cell r="Z31">
            <v>23176.400000000001</v>
          </cell>
          <cell r="AA31">
            <v>8978</v>
          </cell>
          <cell r="AB31">
            <v>4</v>
          </cell>
          <cell r="AC31" t="str">
            <v>פפילסקי  אינה</v>
          </cell>
          <cell r="AD31" t="str">
            <v>SQA</v>
          </cell>
          <cell r="AE31">
            <v>4</v>
          </cell>
          <cell r="AF31">
            <v>11</v>
          </cell>
          <cell r="AG31">
            <v>2420.09</v>
          </cell>
          <cell r="AH31">
            <v>3404</v>
          </cell>
          <cell r="AI31">
            <v>3545</v>
          </cell>
        </row>
        <row r="32">
          <cell r="A32" t="str">
            <v>אינישיה בע"מ</v>
          </cell>
          <cell r="B32">
            <v>2005</v>
          </cell>
          <cell r="C32">
            <v>11</v>
          </cell>
          <cell r="D32">
            <v>257</v>
          </cell>
          <cell r="E32" t="str">
            <v>סיטון  שמואל</v>
          </cell>
          <cell r="F32" t="str">
            <v>תפעול</v>
          </cell>
          <cell r="G32">
            <v>0</v>
          </cell>
          <cell r="H32">
            <v>16768</v>
          </cell>
          <cell r="I32">
            <v>15478</v>
          </cell>
          <cell r="J32">
            <v>773.9</v>
          </cell>
          <cell r="K32">
            <v>1160.8499999999999</v>
          </cell>
          <cell r="L32">
            <v>1289.32</v>
          </cell>
          <cell r="M32">
            <v>0</v>
          </cell>
          <cell r="N32">
            <v>10.97</v>
          </cell>
          <cell r="R32">
            <v>19642.3</v>
          </cell>
          <cell r="S32">
            <v>3912.37</v>
          </cell>
          <cell r="T32">
            <v>773.9</v>
          </cell>
          <cell r="U32">
            <v>386.95</v>
          </cell>
          <cell r="W32">
            <v>0</v>
          </cell>
          <cell r="X32">
            <v>1535.78</v>
          </cell>
          <cell r="Y32">
            <v>1829.15</v>
          </cell>
          <cell r="Z32">
            <v>-8465.57</v>
          </cell>
          <cell r="AA32">
            <v>8869</v>
          </cell>
          <cell r="AB32">
            <v>4</v>
          </cell>
          <cell r="AC32" t="str">
            <v>סיטון  שמואל</v>
          </cell>
          <cell r="AD32" t="str">
            <v>תפעול</v>
          </cell>
          <cell r="AE32">
            <v>4</v>
          </cell>
          <cell r="AF32">
            <v>11</v>
          </cell>
          <cell r="AG32">
            <v>4164.3</v>
          </cell>
          <cell r="AH32">
            <v>5448.15</v>
          </cell>
          <cell r="AI32">
            <v>1290</v>
          </cell>
        </row>
        <row r="33">
          <cell r="A33" t="str">
            <v>אינישיה בע"מ</v>
          </cell>
          <cell r="B33">
            <v>2005</v>
          </cell>
          <cell r="C33">
            <v>11</v>
          </cell>
          <cell r="D33">
            <v>258</v>
          </cell>
          <cell r="E33" t="str">
            <v>אטיה  אלקנה</v>
          </cell>
          <cell r="F33" t="str">
            <v>תפעול</v>
          </cell>
          <cell r="G33">
            <v>0</v>
          </cell>
          <cell r="H33">
            <v>13904</v>
          </cell>
          <cell r="I33">
            <v>12529</v>
          </cell>
          <cell r="J33">
            <v>438.52</v>
          </cell>
          <cell r="K33">
            <v>1178.4000000000001</v>
          </cell>
          <cell r="L33">
            <v>730.57</v>
          </cell>
          <cell r="M33">
            <v>79.349999999999994</v>
          </cell>
          <cell r="N33">
            <v>3.3</v>
          </cell>
          <cell r="R33">
            <v>14555</v>
          </cell>
          <cell r="S33">
            <v>2866.98</v>
          </cell>
          <cell r="T33">
            <v>438.52</v>
          </cell>
          <cell r="U33">
            <v>392.8</v>
          </cell>
          <cell r="W33">
            <v>0</v>
          </cell>
          <cell r="X33">
            <v>1238.5</v>
          </cell>
          <cell r="Y33">
            <v>550.25</v>
          </cell>
          <cell r="Z33">
            <v>16.5</v>
          </cell>
          <cell r="AA33">
            <v>550.25</v>
          </cell>
          <cell r="AB33">
            <v>3</v>
          </cell>
          <cell r="AC33" t="str">
            <v>קוסנקו  רומן</v>
          </cell>
          <cell r="AD33" t="str">
            <v>נוער</v>
          </cell>
          <cell r="AE33">
            <v>3</v>
          </cell>
          <cell r="AF33">
            <v>8</v>
          </cell>
          <cell r="AG33">
            <v>3.3</v>
          </cell>
          <cell r="AH33">
            <v>4105.4799999999996</v>
          </cell>
          <cell r="AI33">
            <v>1375</v>
          </cell>
        </row>
        <row r="34">
          <cell r="A34" t="str">
            <v>אינישיה בע"מ</v>
          </cell>
          <cell r="B34">
            <v>2005</v>
          </cell>
          <cell r="C34">
            <v>11</v>
          </cell>
          <cell r="D34">
            <v>259</v>
          </cell>
          <cell r="E34" t="str">
            <v>אלג'ם  יצחק</v>
          </cell>
          <cell r="F34" t="str">
            <v>תפעול</v>
          </cell>
          <cell r="G34">
            <v>0</v>
          </cell>
          <cell r="H34">
            <v>7517</v>
          </cell>
          <cell r="I34">
            <v>7517</v>
          </cell>
          <cell r="J34">
            <v>252</v>
          </cell>
          <cell r="K34">
            <v>1178.4000000000001</v>
          </cell>
          <cell r="L34">
            <v>419.83</v>
          </cell>
          <cell r="M34">
            <v>9.85</v>
          </cell>
          <cell r="N34">
            <v>24.62</v>
          </cell>
          <cell r="R34">
            <v>8613.4599999999991</v>
          </cell>
          <cell r="S34">
            <v>732.48</v>
          </cell>
          <cell r="T34">
            <v>252</v>
          </cell>
          <cell r="U34">
            <v>392.8</v>
          </cell>
          <cell r="W34">
            <v>0</v>
          </cell>
          <cell r="X34">
            <v>575.52</v>
          </cell>
          <cell r="Y34">
            <v>5957</v>
          </cell>
          <cell r="Z34">
            <v>-5619.03</v>
          </cell>
          <cell r="AA34">
            <v>5957</v>
          </cell>
          <cell r="AB34">
            <v>4</v>
          </cell>
          <cell r="AC34" t="str">
            <v>אלג'ם  יצחק</v>
          </cell>
          <cell r="AD34" t="str">
            <v>תפעול</v>
          </cell>
          <cell r="AE34">
            <v>4</v>
          </cell>
          <cell r="AF34">
            <v>11</v>
          </cell>
          <cell r="AG34">
            <v>1096.46</v>
          </cell>
          <cell r="AH34">
            <v>1308</v>
          </cell>
          <cell r="AI34">
            <v>4010.42</v>
          </cell>
        </row>
        <row r="35">
          <cell r="A35" t="str">
            <v>אינישיה בע"מ</v>
          </cell>
          <cell r="B35">
            <v>2005</v>
          </cell>
          <cell r="C35">
            <v>11</v>
          </cell>
          <cell r="D35">
            <v>261</v>
          </cell>
          <cell r="E35" t="str">
            <v>גולדברג  איציק</v>
          </cell>
          <cell r="F35" t="str">
            <v>תפעול</v>
          </cell>
          <cell r="G35">
            <v>0</v>
          </cell>
          <cell r="H35">
            <v>6386</v>
          </cell>
          <cell r="I35">
            <v>6386</v>
          </cell>
          <cell r="J35">
            <v>212.4</v>
          </cell>
          <cell r="K35">
            <v>1178.4000000000001</v>
          </cell>
          <cell r="L35">
            <v>353.86</v>
          </cell>
          <cell r="M35">
            <v>42.48</v>
          </cell>
          <cell r="N35">
            <v>26.84</v>
          </cell>
          <cell r="R35">
            <v>7345.28</v>
          </cell>
          <cell r="S35">
            <v>472.48</v>
          </cell>
          <cell r="T35">
            <v>212.4</v>
          </cell>
          <cell r="U35">
            <v>392.8</v>
          </cell>
          <cell r="W35">
            <v>0</v>
          </cell>
          <cell r="X35">
            <v>458.12</v>
          </cell>
          <cell r="Y35">
            <v>5243</v>
          </cell>
          <cell r="Z35">
            <v>271</v>
          </cell>
          <cell r="AA35">
            <v>475</v>
          </cell>
          <cell r="AB35">
            <v>3</v>
          </cell>
          <cell r="AC35" t="str">
            <v>טופז  אלכסנדרה</v>
          </cell>
          <cell r="AD35" t="str">
            <v>נוער</v>
          </cell>
          <cell r="AE35">
            <v>3</v>
          </cell>
          <cell r="AF35">
            <v>8</v>
          </cell>
          <cell r="AG35">
            <v>26.84</v>
          </cell>
          <cell r="AH35">
            <v>22.02</v>
          </cell>
          <cell r="AI35">
            <v>3605</v>
          </cell>
        </row>
        <row r="36">
          <cell r="A36" t="str">
            <v>אינישיה בע"מ</v>
          </cell>
          <cell r="B36">
            <v>2005</v>
          </cell>
          <cell r="C36">
            <v>11</v>
          </cell>
          <cell r="D36">
            <v>262</v>
          </cell>
          <cell r="E36" t="str">
            <v>דור  שמעון</v>
          </cell>
          <cell r="F36" t="str">
            <v>תפעול</v>
          </cell>
          <cell r="G36">
            <v>0</v>
          </cell>
          <cell r="H36">
            <v>24886</v>
          </cell>
          <cell r="I36">
            <v>23511</v>
          </cell>
          <cell r="J36">
            <v>822.89</v>
          </cell>
          <cell r="K36">
            <v>1178.4000000000001</v>
          </cell>
          <cell r="L36">
            <v>1370.93</v>
          </cell>
          <cell r="M36">
            <v>71</v>
          </cell>
          <cell r="N36">
            <v>3.82</v>
          </cell>
          <cell r="R36">
            <v>27177.16</v>
          </cell>
          <cell r="S36">
            <v>7015.69</v>
          </cell>
          <cell r="T36">
            <v>822.89</v>
          </cell>
          <cell r="U36">
            <v>392.8</v>
          </cell>
          <cell r="W36">
            <v>0</v>
          </cell>
          <cell r="X36">
            <v>2378.42</v>
          </cell>
          <cell r="Y36">
            <v>636.64</v>
          </cell>
          <cell r="Z36">
            <v>-5619.03</v>
          </cell>
          <cell r="AA36">
            <v>13294</v>
          </cell>
          <cell r="AB36">
            <v>4</v>
          </cell>
          <cell r="AC36" t="str">
            <v>דור  שמעון</v>
          </cell>
          <cell r="AD36" t="str">
            <v>תפעול</v>
          </cell>
          <cell r="AE36">
            <v>4</v>
          </cell>
          <cell r="AF36">
            <v>11</v>
          </cell>
          <cell r="AG36">
            <v>3666.16</v>
          </cell>
          <cell r="AH36">
            <v>9394.11</v>
          </cell>
          <cell r="AI36">
            <v>1375</v>
          </cell>
        </row>
        <row r="37">
          <cell r="A37" t="str">
            <v>אינישיה בע"מ</v>
          </cell>
          <cell r="B37">
            <v>2005</v>
          </cell>
          <cell r="C37">
            <v>11</v>
          </cell>
          <cell r="D37">
            <v>263</v>
          </cell>
          <cell r="E37" t="str">
            <v>המלי  רונית</v>
          </cell>
          <cell r="F37" t="str">
            <v>תפעול</v>
          </cell>
          <cell r="G37">
            <v>0</v>
          </cell>
          <cell r="H37">
            <v>8665</v>
          </cell>
          <cell r="I37">
            <v>8665</v>
          </cell>
          <cell r="J37">
            <v>292.2</v>
          </cell>
          <cell r="K37">
            <v>438.3</v>
          </cell>
          <cell r="L37">
            <v>486.81</v>
          </cell>
          <cell r="M37">
            <v>58.44</v>
          </cell>
          <cell r="N37">
            <v>6.52</v>
          </cell>
          <cell r="R37">
            <v>10420.73</v>
          </cell>
          <cell r="S37">
            <v>823.02</v>
          </cell>
          <cell r="T37">
            <v>292.2</v>
          </cell>
          <cell r="U37">
            <v>146.1</v>
          </cell>
          <cell r="W37">
            <v>0</v>
          </cell>
          <cell r="X37">
            <v>694.68</v>
          </cell>
          <cell r="Y37">
            <v>1086.44</v>
          </cell>
          <cell r="Z37">
            <v>-7455.81</v>
          </cell>
          <cell r="AA37">
            <v>6709</v>
          </cell>
          <cell r="AB37">
            <v>4</v>
          </cell>
          <cell r="AC37" t="str">
            <v>המלי  רונית</v>
          </cell>
          <cell r="AD37" t="str">
            <v>תפעול</v>
          </cell>
          <cell r="AE37">
            <v>4</v>
          </cell>
          <cell r="AF37">
            <v>11</v>
          </cell>
          <cell r="AG37">
            <v>1755.73</v>
          </cell>
          <cell r="AH37">
            <v>1517.7</v>
          </cell>
          <cell r="AI37">
            <v>3585</v>
          </cell>
        </row>
        <row r="38">
          <cell r="A38" t="str">
            <v>אינישיה בע"מ</v>
          </cell>
          <cell r="B38">
            <v>2005</v>
          </cell>
          <cell r="C38">
            <v>11</v>
          </cell>
          <cell r="D38">
            <v>265</v>
          </cell>
          <cell r="E38" t="str">
            <v>לביא  אבי</v>
          </cell>
          <cell r="F38" t="str">
            <v>תפעול</v>
          </cell>
          <cell r="G38">
            <v>0</v>
          </cell>
          <cell r="H38">
            <v>10417</v>
          </cell>
          <cell r="I38">
            <v>10417</v>
          </cell>
          <cell r="J38">
            <v>353.5</v>
          </cell>
          <cell r="K38">
            <v>1119.54</v>
          </cell>
          <cell r="L38">
            <v>588.92999999999995</v>
          </cell>
          <cell r="M38">
            <v>0</v>
          </cell>
          <cell r="N38">
            <v>579.5</v>
          </cell>
          <cell r="R38">
            <v>11938.93</v>
          </cell>
          <cell r="S38">
            <v>1278.96</v>
          </cell>
          <cell r="T38">
            <v>353.5</v>
          </cell>
          <cell r="U38">
            <v>373.18</v>
          </cell>
          <cell r="W38">
            <v>0</v>
          </cell>
          <cell r="X38">
            <v>876.54</v>
          </cell>
          <cell r="Y38">
            <v>7908</v>
          </cell>
          <cell r="Z38">
            <v>130.30000000000001</v>
          </cell>
          <cell r="AA38">
            <v>7908</v>
          </cell>
          <cell r="AB38">
            <v>4</v>
          </cell>
          <cell r="AC38" t="str">
            <v>לביא  אבי</v>
          </cell>
          <cell r="AD38" t="str">
            <v>תפעול</v>
          </cell>
          <cell r="AE38">
            <v>4</v>
          </cell>
          <cell r="AF38">
            <v>11</v>
          </cell>
          <cell r="AG38">
            <v>1521.93</v>
          </cell>
          <cell r="AH38">
            <v>2155.5</v>
          </cell>
          <cell r="AI38">
            <v>990</v>
          </cell>
        </row>
        <row r="39">
          <cell r="A39" t="str">
            <v>אינישיה בע"מ</v>
          </cell>
          <cell r="B39">
            <v>2005</v>
          </cell>
          <cell r="C39">
            <v>11</v>
          </cell>
          <cell r="D39">
            <v>268</v>
          </cell>
          <cell r="E39" t="str">
            <v>עג'מי  ישעיהו</v>
          </cell>
          <cell r="F39" t="str">
            <v>תפעול</v>
          </cell>
          <cell r="G39">
            <v>0</v>
          </cell>
          <cell r="H39">
            <v>12724</v>
          </cell>
          <cell r="I39">
            <v>12724</v>
          </cell>
          <cell r="J39">
            <v>434.25</v>
          </cell>
          <cell r="K39">
            <v>1126.44</v>
          </cell>
          <cell r="L39">
            <v>723.46</v>
          </cell>
          <cell r="M39">
            <v>80.86</v>
          </cell>
          <cell r="N39">
            <v>710.54</v>
          </cell>
          <cell r="R39">
            <v>14673.11</v>
          </cell>
          <cell r="S39">
            <v>2431.7399999999998</v>
          </cell>
          <cell r="T39">
            <v>434.25</v>
          </cell>
          <cell r="U39">
            <v>375.48</v>
          </cell>
          <cell r="W39">
            <v>0</v>
          </cell>
          <cell r="X39">
            <v>1116.01</v>
          </cell>
          <cell r="Y39">
            <v>8742</v>
          </cell>
          <cell r="Z39">
            <v>206.7</v>
          </cell>
          <cell r="AA39">
            <v>8742</v>
          </cell>
          <cell r="AB39">
            <v>4</v>
          </cell>
          <cell r="AC39" t="str">
            <v>עג'מי  ישעיהו</v>
          </cell>
          <cell r="AD39" t="str">
            <v>תפעול</v>
          </cell>
          <cell r="AE39">
            <v>4</v>
          </cell>
          <cell r="AF39">
            <v>11</v>
          </cell>
          <cell r="AG39">
            <v>1949.11</v>
          </cell>
          <cell r="AH39">
            <v>3547.75</v>
          </cell>
          <cell r="AI39">
            <v>1320</v>
          </cell>
        </row>
        <row r="40">
          <cell r="A40" t="str">
            <v>אינישיה בע"מ</v>
          </cell>
          <cell r="B40">
            <v>2005</v>
          </cell>
          <cell r="C40">
            <v>11</v>
          </cell>
          <cell r="D40">
            <v>270</v>
          </cell>
          <cell r="E40" t="str">
            <v>רוזבש  נטליה</v>
          </cell>
          <cell r="F40" t="str">
            <v>תפעול</v>
          </cell>
          <cell r="G40">
            <v>0</v>
          </cell>
          <cell r="H40">
            <v>6465.08</v>
          </cell>
          <cell r="I40">
            <v>6465.08</v>
          </cell>
          <cell r="J40">
            <v>210</v>
          </cell>
          <cell r="K40">
            <v>1121.4000000000001</v>
          </cell>
          <cell r="L40">
            <v>349.86</v>
          </cell>
          <cell r="M40">
            <v>0</v>
          </cell>
          <cell r="N40">
            <v>355.03</v>
          </cell>
          <cell r="R40">
            <v>7379.97</v>
          </cell>
          <cell r="S40">
            <v>46.74</v>
          </cell>
          <cell r="T40">
            <v>210</v>
          </cell>
          <cell r="U40">
            <v>373.8</v>
          </cell>
          <cell r="W40">
            <v>0</v>
          </cell>
          <cell r="X40">
            <v>466.34</v>
          </cell>
          <cell r="Y40">
            <v>5742</v>
          </cell>
          <cell r="Z40">
            <v>175.4</v>
          </cell>
          <cell r="AA40">
            <v>5742</v>
          </cell>
          <cell r="AB40">
            <v>4</v>
          </cell>
          <cell r="AC40" t="str">
            <v>רוזבש  נטליה</v>
          </cell>
          <cell r="AD40" t="str">
            <v>תפעול</v>
          </cell>
          <cell r="AE40">
            <v>4</v>
          </cell>
          <cell r="AF40">
            <v>11</v>
          </cell>
          <cell r="AG40">
            <v>914.89</v>
          </cell>
          <cell r="AH40">
            <v>513.08000000000004</v>
          </cell>
          <cell r="AI40">
            <v>1290</v>
          </cell>
        </row>
        <row r="41">
          <cell r="A41" t="str">
            <v>אינישיה בע"מ</v>
          </cell>
          <cell r="B41">
            <v>2005</v>
          </cell>
          <cell r="C41">
            <v>11</v>
          </cell>
          <cell r="D41">
            <v>273</v>
          </cell>
          <cell r="E41" t="str">
            <v>עובדיה  שאול</v>
          </cell>
          <cell r="F41" t="str">
            <v>תפעול</v>
          </cell>
          <cell r="G41">
            <v>0</v>
          </cell>
          <cell r="H41">
            <v>6777</v>
          </cell>
          <cell r="I41">
            <v>6777</v>
          </cell>
          <cell r="J41">
            <v>226.1</v>
          </cell>
          <cell r="K41">
            <v>1118.8800000000001</v>
          </cell>
          <cell r="L41">
            <v>376.68</v>
          </cell>
          <cell r="M41">
            <v>45.22</v>
          </cell>
          <cell r="N41">
            <v>372.75</v>
          </cell>
          <cell r="R41">
            <v>7797.75</v>
          </cell>
          <cell r="S41">
            <v>559.19000000000005</v>
          </cell>
          <cell r="T41">
            <v>226.1</v>
          </cell>
          <cell r="U41">
            <v>372.96</v>
          </cell>
          <cell r="W41">
            <v>0</v>
          </cell>
          <cell r="X41">
            <v>835.85</v>
          </cell>
          <cell r="Y41">
            <v>8504</v>
          </cell>
          <cell r="Z41">
            <v>-832.15</v>
          </cell>
          <cell r="AA41">
            <v>9336.15</v>
          </cell>
          <cell r="AB41">
            <v>2</v>
          </cell>
          <cell r="AC41" t="str">
            <v>בן עזרא  אמה</v>
          </cell>
          <cell r="AD41" t="str">
            <v>כספים</v>
          </cell>
          <cell r="AE41">
            <v>2</v>
          </cell>
          <cell r="AF41">
            <v>4</v>
          </cell>
          <cell r="AG41">
            <v>2574.0300000000002</v>
          </cell>
          <cell r="AH41">
            <v>1286.75</v>
          </cell>
          <cell r="AI41">
            <v>336</v>
          </cell>
        </row>
        <row r="42">
          <cell r="A42" t="str">
            <v>אינישיה בע"מ</v>
          </cell>
          <cell r="B42">
            <v>2005</v>
          </cell>
          <cell r="C42">
            <v>11</v>
          </cell>
          <cell r="D42">
            <v>274</v>
          </cell>
          <cell r="E42" t="str">
            <v>כהן  שי</v>
          </cell>
          <cell r="F42" t="str">
            <v>תפעול</v>
          </cell>
          <cell r="G42">
            <v>0</v>
          </cell>
          <cell r="H42">
            <v>5417</v>
          </cell>
          <cell r="I42">
            <v>5417</v>
          </cell>
          <cell r="J42">
            <v>89.25</v>
          </cell>
          <cell r="K42">
            <v>1113.8399999999999</v>
          </cell>
          <cell r="L42">
            <v>297.38</v>
          </cell>
          <cell r="M42">
            <v>0</v>
          </cell>
          <cell r="N42">
            <v>295.5</v>
          </cell>
          <cell r="R42">
            <v>6099.13</v>
          </cell>
          <cell r="S42">
            <v>281.20999999999998</v>
          </cell>
          <cell r="T42">
            <v>89.25</v>
          </cell>
          <cell r="U42">
            <v>371.28</v>
          </cell>
          <cell r="W42">
            <v>0</v>
          </cell>
          <cell r="X42">
            <v>357.54</v>
          </cell>
          <cell r="Y42">
            <v>4689</v>
          </cell>
          <cell r="Z42">
            <v>185</v>
          </cell>
          <cell r="AA42">
            <v>4689</v>
          </cell>
          <cell r="AB42">
            <v>4</v>
          </cell>
          <cell r="AC42" t="str">
            <v>כהן  שי</v>
          </cell>
          <cell r="AD42" t="str">
            <v>תפעול</v>
          </cell>
          <cell r="AE42">
            <v>4</v>
          </cell>
          <cell r="AF42">
            <v>11</v>
          </cell>
          <cell r="AG42">
            <v>682.13</v>
          </cell>
          <cell r="AH42">
            <v>638.75</v>
          </cell>
          <cell r="AI42">
            <v>1290</v>
          </cell>
        </row>
        <row r="43">
          <cell r="A43" t="str">
            <v>אינישיה בע"מ</v>
          </cell>
          <cell r="B43">
            <v>2005</v>
          </cell>
          <cell r="C43">
            <v>11</v>
          </cell>
          <cell r="D43">
            <v>276</v>
          </cell>
          <cell r="E43" t="str">
            <v>כגן  רויטל</v>
          </cell>
          <cell r="F43" t="str">
            <v>אדמנסטרציה</v>
          </cell>
          <cell r="G43">
            <v>0</v>
          </cell>
          <cell r="H43">
            <v>6991</v>
          </cell>
          <cell r="I43">
            <v>6991</v>
          </cell>
          <cell r="J43">
            <v>233.59</v>
          </cell>
          <cell r="K43">
            <v>1128.96</v>
          </cell>
          <cell r="L43">
            <v>389.16</v>
          </cell>
          <cell r="M43">
            <v>42.05</v>
          </cell>
          <cell r="N43">
            <v>384.9</v>
          </cell>
          <cell r="R43">
            <v>8040.7</v>
          </cell>
          <cell r="S43">
            <v>339.49</v>
          </cell>
          <cell r="T43">
            <v>233.59</v>
          </cell>
          <cell r="U43">
            <v>376.32</v>
          </cell>
          <cell r="W43">
            <v>0</v>
          </cell>
          <cell r="X43">
            <v>520.91999999999996</v>
          </cell>
          <cell r="Y43">
            <v>5897</v>
          </cell>
          <cell r="Z43">
            <v>130.80000000000001</v>
          </cell>
          <cell r="AA43">
            <v>5897</v>
          </cell>
          <cell r="AB43">
            <v>4</v>
          </cell>
          <cell r="AC43" t="str">
            <v>כגן  רויטל</v>
          </cell>
          <cell r="AD43" t="str">
            <v>אדמנסטרציה</v>
          </cell>
          <cell r="AE43">
            <v>4</v>
          </cell>
          <cell r="AF43">
            <v>11</v>
          </cell>
          <cell r="AG43">
            <v>1049.7</v>
          </cell>
          <cell r="AH43">
            <v>860.41</v>
          </cell>
          <cell r="AI43">
            <v>1290</v>
          </cell>
        </row>
        <row r="44">
          <cell r="A44" t="str">
            <v>אינישיה בע"מ</v>
          </cell>
          <cell r="B44">
            <v>2005</v>
          </cell>
          <cell r="C44">
            <v>11</v>
          </cell>
          <cell r="D44">
            <v>277</v>
          </cell>
          <cell r="E44" t="str">
            <v>קרסילשצ'קוב  לריסה</v>
          </cell>
          <cell r="F44" t="str">
            <v>אדמנסטרציה</v>
          </cell>
          <cell r="G44">
            <v>0</v>
          </cell>
          <cell r="H44">
            <v>9317</v>
          </cell>
          <cell r="I44">
            <v>9317</v>
          </cell>
          <cell r="J44">
            <v>315</v>
          </cell>
          <cell r="K44">
            <v>1128.98</v>
          </cell>
          <cell r="L44">
            <v>524.79</v>
          </cell>
          <cell r="M44">
            <v>37.49</v>
          </cell>
          <cell r="N44">
            <v>517.02</v>
          </cell>
          <cell r="R44">
            <v>10711.3</v>
          </cell>
          <cell r="S44">
            <v>1015.64</v>
          </cell>
          <cell r="T44">
            <v>315</v>
          </cell>
          <cell r="U44">
            <v>376.33</v>
          </cell>
          <cell r="W44">
            <v>0</v>
          </cell>
          <cell r="X44">
            <v>762.36</v>
          </cell>
          <cell r="Y44">
            <v>7224</v>
          </cell>
          <cell r="Z44">
            <v>174.9</v>
          </cell>
          <cell r="AA44">
            <v>7224</v>
          </cell>
          <cell r="AB44">
            <v>4</v>
          </cell>
          <cell r="AC44" t="str">
            <v>קרסילשצ'קוב  לריסה</v>
          </cell>
          <cell r="AD44" t="str">
            <v>אדמנסטרציה</v>
          </cell>
          <cell r="AE44">
            <v>4</v>
          </cell>
          <cell r="AF44">
            <v>11</v>
          </cell>
          <cell r="AG44">
            <v>1394.3</v>
          </cell>
          <cell r="AH44">
            <v>1778</v>
          </cell>
          <cell r="AI44">
            <v>1290</v>
          </cell>
        </row>
        <row r="45">
          <cell r="A45" t="str">
            <v>אינישיה בע"מ</v>
          </cell>
          <cell r="B45">
            <v>2005</v>
          </cell>
          <cell r="C45">
            <v>11</v>
          </cell>
          <cell r="D45">
            <v>278</v>
          </cell>
          <cell r="E45" t="str">
            <v>פרץ  שחר</v>
          </cell>
          <cell r="F45" t="str">
            <v>אלקטרוניקה</v>
          </cell>
          <cell r="G45">
            <v>0</v>
          </cell>
          <cell r="H45">
            <v>6319</v>
          </cell>
          <cell r="I45">
            <v>6319</v>
          </cell>
          <cell r="J45">
            <v>210</v>
          </cell>
          <cell r="K45">
            <v>1128.98</v>
          </cell>
          <cell r="L45">
            <v>349.86</v>
          </cell>
          <cell r="M45">
            <v>0</v>
          </cell>
          <cell r="N45">
            <v>346.73</v>
          </cell>
          <cell r="R45">
            <v>7225.59</v>
          </cell>
          <cell r="S45">
            <v>458.83</v>
          </cell>
          <cell r="T45">
            <v>210</v>
          </cell>
          <cell r="U45">
            <v>376.33</v>
          </cell>
          <cell r="W45">
            <v>0</v>
          </cell>
          <cell r="X45">
            <v>451.17</v>
          </cell>
          <cell r="Y45">
            <v>5199</v>
          </cell>
          <cell r="Z45">
            <v>250.8</v>
          </cell>
          <cell r="AA45">
            <v>5199</v>
          </cell>
          <cell r="AB45">
            <v>4</v>
          </cell>
          <cell r="AC45" t="str">
            <v>פרץ  שחר</v>
          </cell>
          <cell r="AD45" t="str">
            <v>אלקטרוניקה</v>
          </cell>
          <cell r="AE45">
            <v>4</v>
          </cell>
          <cell r="AF45">
            <v>11</v>
          </cell>
          <cell r="AG45">
            <v>906.59</v>
          </cell>
          <cell r="AH45">
            <v>910</v>
          </cell>
          <cell r="AI45">
            <v>1290</v>
          </cell>
        </row>
        <row r="46">
          <cell r="A46" t="str">
            <v>אינישיה בע"מ</v>
          </cell>
          <cell r="B46">
            <v>2005</v>
          </cell>
          <cell r="C46">
            <v>11</v>
          </cell>
          <cell r="D46">
            <v>282</v>
          </cell>
          <cell r="E46" t="str">
            <v>כהן עזריה  מרדכי</v>
          </cell>
          <cell r="F46" t="str">
            <v>הנדסה</v>
          </cell>
          <cell r="G46">
            <v>0</v>
          </cell>
          <cell r="H46">
            <v>8757</v>
          </cell>
          <cell r="I46">
            <v>8757</v>
          </cell>
          <cell r="J46">
            <v>295.39999999999998</v>
          </cell>
          <cell r="K46">
            <v>1126.1600000000001</v>
          </cell>
          <cell r="L46">
            <v>492.14</v>
          </cell>
          <cell r="M46">
            <v>0</v>
          </cell>
          <cell r="N46">
            <v>485.21</v>
          </cell>
          <cell r="R46">
            <v>10029.75</v>
          </cell>
          <cell r="S46">
            <v>1118.3599999999999</v>
          </cell>
          <cell r="T46">
            <v>295.39999999999998</v>
          </cell>
          <cell r="U46">
            <v>375.39</v>
          </cell>
          <cell r="W46">
            <v>0</v>
          </cell>
          <cell r="X46">
            <v>704.24</v>
          </cell>
          <cell r="Y46">
            <v>6639</v>
          </cell>
          <cell r="Z46">
            <v>130.9</v>
          </cell>
          <cell r="AA46">
            <v>6639</v>
          </cell>
          <cell r="AB46">
            <v>4</v>
          </cell>
          <cell r="AC46" t="str">
            <v>כהן עזריה  מרדכי</v>
          </cell>
          <cell r="AD46" t="str">
            <v>הנדסה</v>
          </cell>
          <cell r="AE46">
            <v>4</v>
          </cell>
          <cell r="AF46">
            <v>11</v>
          </cell>
          <cell r="AG46">
            <v>1272.75</v>
          </cell>
          <cell r="AH46">
            <v>1822.6</v>
          </cell>
          <cell r="AI46">
            <v>1540</v>
          </cell>
        </row>
        <row r="47">
          <cell r="A47" t="str">
            <v>אינישיה בע"מ</v>
          </cell>
          <cell r="B47">
            <v>2005</v>
          </cell>
          <cell r="C47">
            <v>11</v>
          </cell>
          <cell r="D47">
            <v>285</v>
          </cell>
          <cell r="E47" t="str">
            <v>נג'רנר  פבל</v>
          </cell>
          <cell r="F47" t="str">
            <v>מכניקה</v>
          </cell>
          <cell r="G47">
            <v>0</v>
          </cell>
          <cell r="H47">
            <v>7517</v>
          </cell>
          <cell r="I47">
            <v>7517</v>
          </cell>
          <cell r="J47">
            <v>252</v>
          </cell>
          <cell r="K47">
            <v>1123.3499999999999</v>
          </cell>
          <cell r="L47">
            <v>419.83</v>
          </cell>
          <cell r="M47">
            <v>0</v>
          </cell>
          <cell r="N47">
            <v>414.78</v>
          </cell>
          <cell r="R47">
            <v>8603.61</v>
          </cell>
          <cell r="S47">
            <v>732.48</v>
          </cell>
          <cell r="T47">
            <v>252</v>
          </cell>
          <cell r="U47">
            <v>374.45</v>
          </cell>
          <cell r="W47">
            <v>0</v>
          </cell>
          <cell r="X47">
            <v>575.52</v>
          </cell>
          <cell r="Y47">
            <v>5957</v>
          </cell>
          <cell r="Z47">
            <v>574.1</v>
          </cell>
          <cell r="AA47">
            <v>5957</v>
          </cell>
          <cell r="AB47">
            <v>4</v>
          </cell>
          <cell r="AC47" t="str">
            <v>נג'רנר  פבל</v>
          </cell>
          <cell r="AD47" t="str">
            <v>מכניקה</v>
          </cell>
          <cell r="AE47">
            <v>4</v>
          </cell>
          <cell r="AF47">
            <v>11</v>
          </cell>
          <cell r="AG47">
            <v>1086.6099999999999</v>
          </cell>
          <cell r="AH47">
            <v>1308</v>
          </cell>
          <cell r="AI47">
            <v>1290</v>
          </cell>
        </row>
        <row r="48">
          <cell r="A48" t="str">
            <v>אינישיה בע"מ</v>
          </cell>
          <cell r="B48">
            <v>2005</v>
          </cell>
          <cell r="C48">
            <v>11</v>
          </cell>
          <cell r="D48">
            <v>286</v>
          </cell>
          <cell r="E48" t="str">
            <v>קרקוז  לינה</v>
          </cell>
          <cell r="F48" t="str">
            <v>תפעול</v>
          </cell>
          <cell r="G48">
            <v>0</v>
          </cell>
          <cell r="H48">
            <v>4117.8</v>
          </cell>
          <cell r="I48">
            <v>4117.8</v>
          </cell>
          <cell r="J48">
            <v>98.18</v>
          </cell>
          <cell r="K48">
            <v>1123.3499999999999</v>
          </cell>
          <cell r="L48">
            <v>163.56</v>
          </cell>
          <cell r="M48">
            <v>0</v>
          </cell>
          <cell r="N48">
            <v>174.7</v>
          </cell>
          <cell r="R48">
            <v>4554.24</v>
          </cell>
          <cell r="S48">
            <v>3727.77</v>
          </cell>
          <cell r="T48">
            <v>98.18</v>
          </cell>
          <cell r="U48">
            <v>374.45</v>
          </cell>
          <cell r="W48">
            <v>0</v>
          </cell>
          <cell r="X48">
            <v>146.62</v>
          </cell>
          <cell r="Y48">
            <v>3873</v>
          </cell>
          <cell r="Z48">
            <v>9</v>
          </cell>
          <cell r="AA48">
            <v>3873</v>
          </cell>
          <cell r="AB48">
            <v>4</v>
          </cell>
          <cell r="AC48" t="str">
            <v>קרקוז  לינה</v>
          </cell>
          <cell r="AD48" t="str">
            <v>תפעול</v>
          </cell>
          <cell r="AE48">
            <v>4</v>
          </cell>
          <cell r="AF48">
            <v>11</v>
          </cell>
          <cell r="AG48">
            <v>436.44</v>
          </cell>
          <cell r="AH48">
            <v>146.62</v>
          </cell>
          <cell r="AI48">
            <v>1290</v>
          </cell>
        </row>
        <row r="49">
          <cell r="A49" t="str">
            <v>אינישיה בע"מ</v>
          </cell>
          <cell r="B49">
            <v>2005</v>
          </cell>
          <cell r="C49">
            <v>11</v>
          </cell>
          <cell r="D49">
            <v>290</v>
          </cell>
          <cell r="E49" t="str">
            <v>יצחקי  נועם</v>
          </cell>
          <cell r="F49" t="str">
            <v>אלקטרוניקה</v>
          </cell>
          <cell r="G49">
            <v>0</v>
          </cell>
          <cell r="H49">
            <v>10594.5</v>
          </cell>
          <cell r="I49">
            <v>10617</v>
          </cell>
          <cell r="J49">
            <v>350</v>
          </cell>
          <cell r="K49">
            <v>525</v>
          </cell>
          <cell r="L49">
            <v>583.1</v>
          </cell>
          <cell r="M49">
            <v>63</v>
          </cell>
          <cell r="N49">
            <v>589.58000000000004</v>
          </cell>
          <cell r="R49">
            <v>12727.68</v>
          </cell>
          <cell r="S49">
            <v>1692.03</v>
          </cell>
          <cell r="T49">
            <v>350</v>
          </cell>
          <cell r="U49">
            <v>175</v>
          </cell>
          <cell r="W49">
            <v>0</v>
          </cell>
          <cell r="X49">
            <v>894.97</v>
          </cell>
          <cell r="Y49">
            <v>7505</v>
          </cell>
          <cell r="Z49">
            <v>151.1</v>
          </cell>
          <cell r="AA49">
            <v>7505</v>
          </cell>
          <cell r="AB49">
            <v>4</v>
          </cell>
          <cell r="AC49" t="str">
            <v>יצחקי  נועם</v>
          </cell>
          <cell r="AD49" t="str">
            <v>אלקטרוניקה</v>
          </cell>
          <cell r="AE49">
            <v>4</v>
          </cell>
          <cell r="AF49">
            <v>11</v>
          </cell>
          <cell r="AG49">
            <v>2110.6799999999998</v>
          </cell>
          <cell r="AH49">
            <v>2587</v>
          </cell>
          <cell r="AI49">
            <v>-22.5</v>
          </cell>
        </row>
        <row r="50">
          <cell r="A50" t="str">
            <v>אינישיה בע"מ</v>
          </cell>
          <cell r="B50">
            <v>2005</v>
          </cell>
          <cell r="C50">
            <v>11</v>
          </cell>
          <cell r="D50">
            <v>291</v>
          </cell>
          <cell r="E50" t="str">
            <v>הדר  רות</v>
          </cell>
          <cell r="F50" t="str">
            <v>תפעול</v>
          </cell>
          <cell r="G50">
            <v>0</v>
          </cell>
          <cell r="H50">
            <v>4347.6000000000004</v>
          </cell>
          <cell r="I50">
            <v>4347.6000000000004</v>
          </cell>
          <cell r="J50">
            <v>166.75</v>
          </cell>
          <cell r="K50">
            <v>810.43</v>
          </cell>
          <cell r="L50">
            <v>277.81</v>
          </cell>
          <cell r="M50">
            <v>0</v>
          </cell>
          <cell r="N50">
            <v>234.45</v>
          </cell>
          <cell r="R50">
            <v>5026.6099999999997</v>
          </cell>
          <cell r="S50">
            <v>3790.12</v>
          </cell>
          <cell r="T50">
            <v>166.75</v>
          </cell>
          <cell r="U50">
            <v>270.14</v>
          </cell>
          <cell r="W50">
            <v>0</v>
          </cell>
          <cell r="X50">
            <v>246.85</v>
          </cell>
          <cell r="Y50">
            <v>3934</v>
          </cell>
          <cell r="Z50">
            <v>-2107.27</v>
          </cell>
          <cell r="AA50">
            <v>3934</v>
          </cell>
          <cell r="AB50">
            <v>4</v>
          </cell>
          <cell r="AC50" t="str">
            <v>הדר  רות</v>
          </cell>
          <cell r="AD50" t="str">
            <v>תפעול</v>
          </cell>
          <cell r="AE50">
            <v>4</v>
          </cell>
          <cell r="AF50">
            <v>11</v>
          </cell>
          <cell r="AG50">
            <v>679.01</v>
          </cell>
          <cell r="AH50">
            <v>246.85</v>
          </cell>
          <cell r="AI50">
            <v>4206.53</v>
          </cell>
        </row>
        <row r="51">
          <cell r="A51" t="str">
            <v>אינישיה בע"מ</v>
          </cell>
          <cell r="B51">
            <v>2005</v>
          </cell>
          <cell r="C51">
            <v>11</v>
          </cell>
          <cell r="D51">
            <v>295</v>
          </cell>
          <cell r="E51" t="str">
            <v>גוטמן  ברק</v>
          </cell>
          <cell r="F51" t="str">
            <v>שרות</v>
          </cell>
          <cell r="G51">
            <v>0</v>
          </cell>
          <cell r="H51">
            <v>16394</v>
          </cell>
          <cell r="I51">
            <v>15104</v>
          </cell>
          <cell r="J51">
            <v>388.65</v>
          </cell>
          <cell r="K51">
            <v>808.62</v>
          </cell>
          <cell r="L51">
            <v>647.49</v>
          </cell>
          <cell r="M51">
            <v>0</v>
          </cell>
          <cell r="N51">
            <v>924.82</v>
          </cell>
          <cell r="R51">
            <v>17064.96</v>
          </cell>
          <cell r="S51">
            <v>3801.39</v>
          </cell>
          <cell r="T51">
            <v>388.65</v>
          </cell>
          <cell r="U51">
            <v>269.54000000000002</v>
          </cell>
          <cell r="W51">
            <v>0</v>
          </cell>
          <cell r="X51">
            <v>1496.96</v>
          </cell>
          <cell r="Y51">
            <v>9417</v>
          </cell>
          <cell r="Z51">
            <v>-333</v>
          </cell>
          <cell r="AA51">
            <v>10319</v>
          </cell>
          <cell r="AB51">
            <v>1</v>
          </cell>
          <cell r="AC51" t="str">
            <v>גורביץ  ארקדי</v>
          </cell>
          <cell r="AD51" t="str">
            <v>מכניקה</v>
          </cell>
          <cell r="AE51">
            <v>1</v>
          </cell>
          <cell r="AF51">
            <v>2</v>
          </cell>
          <cell r="AG51">
            <v>3218.54</v>
          </cell>
          <cell r="AH51">
            <v>5276</v>
          </cell>
          <cell r="AI51">
            <v>1290</v>
          </cell>
        </row>
        <row r="52">
          <cell r="A52" t="str">
            <v>אינישיה בע"מ</v>
          </cell>
          <cell r="B52">
            <v>2005</v>
          </cell>
          <cell r="C52">
            <v>11</v>
          </cell>
          <cell r="D52">
            <v>297</v>
          </cell>
          <cell r="E52" t="str">
            <v>פאירמן  ליאון</v>
          </cell>
          <cell r="F52" t="str">
            <v>שרות</v>
          </cell>
          <cell r="G52">
            <v>0</v>
          </cell>
          <cell r="H52">
            <v>13717</v>
          </cell>
          <cell r="I52">
            <v>13717</v>
          </cell>
          <cell r="J52">
            <v>462</v>
          </cell>
          <cell r="K52">
            <v>805.01</v>
          </cell>
          <cell r="L52">
            <v>769.69</v>
          </cell>
          <cell r="M52">
            <v>83.16</v>
          </cell>
          <cell r="N52">
            <v>766.94</v>
          </cell>
          <cell r="R52">
            <v>15798.79</v>
          </cell>
          <cell r="S52">
            <v>2792.92</v>
          </cell>
          <cell r="T52">
            <v>462</v>
          </cell>
          <cell r="U52">
            <v>268.33999999999997</v>
          </cell>
          <cell r="W52">
            <v>0</v>
          </cell>
          <cell r="X52">
            <v>1219.08</v>
          </cell>
          <cell r="Y52">
            <v>9243</v>
          </cell>
          <cell r="Z52">
            <v>-90</v>
          </cell>
          <cell r="AA52">
            <v>10287</v>
          </cell>
          <cell r="AB52">
            <v>1</v>
          </cell>
          <cell r="AC52" t="str">
            <v>גורביץ  ארקדי</v>
          </cell>
          <cell r="AD52" t="str">
            <v>מכניקה</v>
          </cell>
          <cell r="AE52">
            <v>1</v>
          </cell>
          <cell r="AF52">
            <v>3</v>
          </cell>
          <cell r="AG52">
            <v>3204.42</v>
          </cell>
          <cell r="AH52">
            <v>5242.6899999999996</v>
          </cell>
          <cell r="AI52">
            <v>4126.2700000000004</v>
          </cell>
        </row>
        <row r="53">
          <cell r="A53" t="str">
            <v>אינישיה בע"מ</v>
          </cell>
          <cell r="B53">
            <v>2005</v>
          </cell>
          <cell r="C53">
            <v>11</v>
          </cell>
          <cell r="D53">
            <v>298</v>
          </cell>
          <cell r="E53" t="str">
            <v>שולמן  ג'ני</v>
          </cell>
          <cell r="F53" t="str">
            <v>רגולציה</v>
          </cell>
          <cell r="G53">
            <v>0</v>
          </cell>
          <cell r="H53">
            <v>10184.93</v>
          </cell>
          <cell r="I53">
            <v>10184.93</v>
          </cell>
          <cell r="J53">
            <v>335.9</v>
          </cell>
          <cell r="K53">
            <v>803.2</v>
          </cell>
          <cell r="L53">
            <v>559.6</v>
          </cell>
          <cell r="M53">
            <v>0</v>
          </cell>
          <cell r="N53">
            <v>566.32000000000005</v>
          </cell>
          <cell r="R53">
            <v>11646.75</v>
          </cell>
          <cell r="S53">
            <v>1450.58</v>
          </cell>
          <cell r="T53">
            <v>335.9</v>
          </cell>
          <cell r="U53">
            <v>267.73</v>
          </cell>
          <cell r="W53">
            <v>0</v>
          </cell>
          <cell r="X53">
            <v>852.45</v>
          </cell>
          <cell r="Y53">
            <v>7546</v>
          </cell>
          <cell r="Z53">
            <v>-1780.81</v>
          </cell>
          <cell r="AA53">
            <v>7546</v>
          </cell>
          <cell r="AB53">
            <v>4</v>
          </cell>
          <cell r="AC53" t="str">
            <v>שולמן  ג'ני</v>
          </cell>
          <cell r="AD53" t="str">
            <v>רגולציה</v>
          </cell>
          <cell r="AE53">
            <v>4</v>
          </cell>
          <cell r="AF53">
            <v>11</v>
          </cell>
          <cell r="AG53">
            <v>1461.82</v>
          </cell>
          <cell r="AH53">
            <v>2303.0300000000002</v>
          </cell>
          <cell r="AI53">
            <v>250</v>
          </cell>
        </row>
        <row r="54">
          <cell r="A54" t="str">
            <v>אינישיה בע"מ</v>
          </cell>
          <cell r="B54">
            <v>2005</v>
          </cell>
          <cell r="C54">
            <v>11</v>
          </cell>
          <cell r="D54">
            <v>400</v>
          </cell>
          <cell r="E54" t="str">
            <v>גולדשטיין  ליליה</v>
          </cell>
          <cell r="F54" t="str">
            <v>רגולציה</v>
          </cell>
          <cell r="G54">
            <v>0</v>
          </cell>
          <cell r="H54">
            <v>7217</v>
          </cell>
          <cell r="I54">
            <v>7217</v>
          </cell>
          <cell r="J54">
            <v>241.5</v>
          </cell>
          <cell r="K54">
            <v>799.58</v>
          </cell>
          <cell r="L54">
            <v>402.34</v>
          </cell>
          <cell r="M54">
            <v>0</v>
          </cell>
          <cell r="N54">
            <v>397.74</v>
          </cell>
          <cell r="R54">
            <v>8258.58</v>
          </cell>
          <cell r="S54">
            <v>355.12</v>
          </cell>
          <cell r="T54">
            <v>241.5</v>
          </cell>
          <cell r="U54">
            <v>266.52999999999997</v>
          </cell>
          <cell r="W54">
            <v>0</v>
          </cell>
          <cell r="X54">
            <v>544.38</v>
          </cell>
          <cell r="Y54">
            <v>6076</v>
          </cell>
          <cell r="Z54">
            <v>-2087.63</v>
          </cell>
          <cell r="AA54">
            <v>6076</v>
          </cell>
          <cell r="AB54">
            <v>4</v>
          </cell>
          <cell r="AC54" t="str">
            <v>גולדשטיין  ליליה</v>
          </cell>
          <cell r="AD54" t="str">
            <v>רגולציה</v>
          </cell>
          <cell r="AE54">
            <v>4</v>
          </cell>
          <cell r="AF54">
            <v>11</v>
          </cell>
          <cell r="AG54">
            <v>1041.58</v>
          </cell>
          <cell r="AH54">
            <v>899.5</v>
          </cell>
          <cell r="AI54">
            <v>4123.6000000000004</v>
          </cell>
        </row>
        <row r="55">
          <cell r="A55" t="str">
            <v>אינישיה בע"מ</v>
          </cell>
          <cell r="B55">
            <v>2005</v>
          </cell>
          <cell r="C55">
            <v>11</v>
          </cell>
          <cell r="D55">
            <v>401</v>
          </cell>
          <cell r="E55" t="str">
            <v>קונטורוביץ  ויטלי</v>
          </cell>
          <cell r="F55" t="str">
            <v>תוכנה</v>
          </cell>
          <cell r="G55">
            <v>0</v>
          </cell>
          <cell r="H55">
            <v>18000.5</v>
          </cell>
          <cell r="I55">
            <v>17917</v>
          </cell>
          <cell r="J55">
            <v>616</v>
          </cell>
          <cell r="K55">
            <v>799.58</v>
          </cell>
          <cell r="L55">
            <v>678.9</v>
          </cell>
          <cell r="M55">
            <v>65.2</v>
          </cell>
          <cell r="N55">
            <v>407.42</v>
          </cell>
          <cell r="R55">
            <v>20692.7</v>
          </cell>
          <cell r="S55">
            <v>4369.29</v>
          </cell>
          <cell r="T55">
            <v>407.5</v>
          </cell>
          <cell r="U55">
            <v>266.52999999999997</v>
          </cell>
          <cell r="W55">
            <v>0</v>
          </cell>
          <cell r="X55">
            <v>1663.71</v>
          </cell>
          <cell r="Y55">
            <v>11268</v>
          </cell>
          <cell r="Z55">
            <v>-53</v>
          </cell>
          <cell r="AA55">
            <v>11268</v>
          </cell>
          <cell r="AB55">
            <v>4</v>
          </cell>
          <cell r="AC55" t="str">
            <v>קונטורוביץ  ויטלי</v>
          </cell>
          <cell r="AD55" t="str">
            <v>תוכנה</v>
          </cell>
          <cell r="AE55">
            <v>4</v>
          </cell>
          <cell r="AF55">
            <v>11</v>
          </cell>
          <cell r="AG55">
            <v>2775.7</v>
          </cell>
          <cell r="AH55">
            <v>6033</v>
          </cell>
          <cell r="AI55">
            <v>83.5</v>
          </cell>
        </row>
        <row r="56">
          <cell r="A56" t="str">
            <v>אינישיה בע"מ</v>
          </cell>
          <cell r="B56">
            <v>2005</v>
          </cell>
          <cell r="C56">
            <v>11</v>
          </cell>
          <cell r="D56">
            <v>403</v>
          </cell>
          <cell r="E56" t="str">
            <v>עין גל  ניב</v>
          </cell>
          <cell r="F56" t="str">
            <v>תפעול</v>
          </cell>
          <cell r="G56">
            <v>0</v>
          </cell>
          <cell r="H56">
            <v>10290</v>
          </cell>
          <cell r="I56">
            <v>9000</v>
          </cell>
          <cell r="J56">
            <v>450</v>
          </cell>
          <cell r="K56">
            <v>675</v>
          </cell>
          <cell r="L56">
            <v>678.9</v>
          </cell>
          <cell r="M56">
            <v>65.2</v>
          </cell>
          <cell r="N56">
            <v>432.61</v>
          </cell>
          <cell r="R56">
            <v>11536.98</v>
          </cell>
          <cell r="S56">
            <v>1569.64</v>
          </cell>
          <cell r="T56">
            <v>407.5</v>
          </cell>
          <cell r="U56">
            <v>225</v>
          </cell>
          <cell r="W56">
            <v>0</v>
          </cell>
          <cell r="X56">
            <v>625.5</v>
          </cell>
          <cell r="Y56">
            <v>7617</v>
          </cell>
          <cell r="Z56">
            <v>-1326.5</v>
          </cell>
          <cell r="AA56">
            <v>7617</v>
          </cell>
          <cell r="AB56">
            <v>1</v>
          </cell>
          <cell r="AC56" t="str">
            <v>גולדפלד  לירון</v>
          </cell>
          <cell r="AD56" t="str">
            <v>Acount Man</v>
          </cell>
          <cell r="AE56">
            <v>1</v>
          </cell>
          <cell r="AF56">
            <v>2</v>
          </cell>
          <cell r="AG56">
            <v>1584.21</v>
          </cell>
          <cell r="AH56">
            <v>625.5</v>
          </cell>
          <cell r="AI56">
            <v>425</v>
          </cell>
        </row>
        <row r="57">
          <cell r="A57" t="str">
            <v>אינישיה בע"מ</v>
          </cell>
          <cell r="B57">
            <v>2005</v>
          </cell>
          <cell r="C57">
            <v>11</v>
          </cell>
          <cell r="D57">
            <v>404</v>
          </cell>
          <cell r="E57" t="str">
            <v>סירקיס  חן</v>
          </cell>
          <cell r="F57" t="str">
            <v>שיווק</v>
          </cell>
          <cell r="G57">
            <v>0</v>
          </cell>
          <cell r="H57">
            <v>18960</v>
          </cell>
          <cell r="I57">
            <v>18960</v>
          </cell>
          <cell r="J57">
            <v>652.5</v>
          </cell>
          <cell r="K57">
            <v>978.75</v>
          </cell>
          <cell r="L57">
            <v>678.9</v>
          </cell>
          <cell r="M57">
            <v>65.2</v>
          </cell>
          <cell r="N57">
            <v>431.95</v>
          </cell>
          <cell r="R57">
            <v>22866.36</v>
          </cell>
          <cell r="S57">
            <v>4722.95</v>
          </cell>
          <cell r="T57">
            <v>407.5</v>
          </cell>
          <cell r="U57">
            <v>326.25</v>
          </cell>
          <cell r="W57">
            <v>0</v>
          </cell>
          <cell r="X57">
            <v>1763.3</v>
          </cell>
          <cell r="Y57">
            <v>11495</v>
          </cell>
          <cell r="Z57">
            <v>-1500</v>
          </cell>
          <cell r="AA57">
            <v>11495</v>
          </cell>
          <cell r="AB57">
            <v>4</v>
          </cell>
          <cell r="AC57" t="str">
            <v>סירקיס  חן</v>
          </cell>
          <cell r="AD57" t="str">
            <v>שיווק</v>
          </cell>
          <cell r="AE57">
            <v>4</v>
          </cell>
          <cell r="AF57">
            <v>11</v>
          </cell>
          <cell r="AG57">
            <v>3906.36</v>
          </cell>
          <cell r="AH57">
            <v>6486.25</v>
          </cell>
          <cell r="AI57">
            <v>416.19</v>
          </cell>
        </row>
        <row r="58">
          <cell r="A58" t="str">
            <v>אינישיה בע"מ</v>
          </cell>
          <cell r="B58">
            <v>2005</v>
          </cell>
          <cell r="C58">
            <v>11</v>
          </cell>
          <cell r="D58">
            <v>406</v>
          </cell>
          <cell r="E58" t="str">
            <v>שיר  מיכל</v>
          </cell>
          <cell r="F58" t="str">
            <v>אדמנסטרציה</v>
          </cell>
          <cell r="G58">
            <v>0</v>
          </cell>
          <cell r="H58">
            <v>8517</v>
          </cell>
          <cell r="I58">
            <v>8517</v>
          </cell>
          <cell r="J58">
            <v>287</v>
          </cell>
          <cell r="K58">
            <v>913.88</v>
          </cell>
          <cell r="L58">
            <v>678.9</v>
          </cell>
          <cell r="M58">
            <v>65.2</v>
          </cell>
          <cell r="N58">
            <v>766.9</v>
          </cell>
          <cell r="R58">
            <v>9753.7199999999993</v>
          </cell>
          <cell r="S58">
            <v>940.68</v>
          </cell>
          <cell r="T58">
            <v>287</v>
          </cell>
          <cell r="U58">
            <v>304.63</v>
          </cell>
          <cell r="W58">
            <v>0</v>
          </cell>
          <cell r="X58">
            <v>679.32</v>
          </cell>
          <cell r="Y58">
            <v>6610</v>
          </cell>
          <cell r="AA58">
            <v>6610</v>
          </cell>
          <cell r="AB58">
            <v>4</v>
          </cell>
          <cell r="AC58" t="str">
            <v>שיר  מיכל</v>
          </cell>
          <cell r="AD58" t="str">
            <v>אדמנסטרציה</v>
          </cell>
          <cell r="AE58">
            <v>4</v>
          </cell>
          <cell r="AF58">
            <v>11</v>
          </cell>
          <cell r="AG58">
            <v>1236.72</v>
          </cell>
          <cell r="AH58">
            <v>1620</v>
          </cell>
          <cell r="AI58">
            <v>250</v>
          </cell>
        </row>
        <row r="59">
          <cell r="A59" t="str">
            <v>אינישיה בע"מ</v>
          </cell>
          <cell r="B59">
            <v>2005</v>
          </cell>
          <cell r="C59">
            <v>11</v>
          </cell>
          <cell r="D59">
            <v>408</v>
          </cell>
          <cell r="E59" t="str">
            <v>אורן  אלי</v>
          </cell>
          <cell r="F59" t="str">
            <v>ניהול</v>
          </cell>
          <cell r="G59">
            <v>0</v>
          </cell>
          <cell r="H59">
            <v>31393</v>
          </cell>
          <cell r="I59">
            <v>29218</v>
          </cell>
          <cell r="J59">
            <v>1023.65</v>
          </cell>
          <cell r="K59">
            <v>1178.4000000000001</v>
          </cell>
          <cell r="L59">
            <v>678.9</v>
          </cell>
          <cell r="M59">
            <v>65.2</v>
          </cell>
          <cell r="N59">
            <v>428.58</v>
          </cell>
          <cell r="R59">
            <v>35101.11</v>
          </cell>
          <cell r="S59">
            <v>9383.7000000000007</v>
          </cell>
          <cell r="T59">
            <v>1023.65</v>
          </cell>
          <cell r="U59">
            <v>392.8</v>
          </cell>
          <cell r="W59">
            <v>0</v>
          </cell>
          <cell r="X59">
            <v>3053.85</v>
          </cell>
          <cell r="Y59">
            <v>15364</v>
          </cell>
          <cell r="Z59">
            <v>-11</v>
          </cell>
          <cell r="AA59">
            <v>7751</v>
          </cell>
          <cell r="AB59">
            <v>2</v>
          </cell>
          <cell r="AC59" t="str">
            <v>גולדפלד  לירון</v>
          </cell>
          <cell r="AD59" t="str">
            <v>Acount Man</v>
          </cell>
          <cell r="AE59">
            <v>2</v>
          </cell>
          <cell r="AF59">
            <v>5</v>
          </cell>
          <cell r="AG59">
            <v>1580.18</v>
          </cell>
          <cell r="AH59">
            <v>491.5</v>
          </cell>
          <cell r="AI59">
            <v>365.18</v>
          </cell>
        </row>
        <row r="60">
          <cell r="A60" t="str">
            <v>אינישיה בע"מ</v>
          </cell>
          <cell r="B60">
            <v>2005</v>
          </cell>
          <cell r="C60">
            <v>11</v>
          </cell>
          <cell r="D60">
            <v>409</v>
          </cell>
          <cell r="E60" t="str">
            <v>צ'צ'ולין  מיכאל</v>
          </cell>
          <cell r="F60" t="str">
            <v>אלקטרוניקה</v>
          </cell>
          <cell r="G60">
            <v>0</v>
          </cell>
          <cell r="H60">
            <v>10367</v>
          </cell>
          <cell r="I60">
            <v>10367</v>
          </cell>
          <cell r="J60">
            <v>350</v>
          </cell>
          <cell r="K60">
            <v>913.88</v>
          </cell>
          <cell r="L60">
            <v>678.9</v>
          </cell>
          <cell r="M60">
            <v>65.2</v>
          </cell>
          <cell r="N60">
            <v>432.62</v>
          </cell>
          <cell r="R60">
            <v>11876.76</v>
          </cell>
          <cell r="S60">
            <v>1601.65</v>
          </cell>
          <cell r="T60">
            <v>350</v>
          </cell>
          <cell r="U60">
            <v>304.63</v>
          </cell>
          <cell r="W60">
            <v>0</v>
          </cell>
          <cell r="X60">
            <v>625.49</v>
          </cell>
          <cell r="Y60">
            <v>7731</v>
          </cell>
          <cell r="Z60">
            <v>-1086.6199999999999</v>
          </cell>
          <cell r="AA60">
            <v>8817.6200000000008</v>
          </cell>
          <cell r="AB60">
            <v>2</v>
          </cell>
          <cell r="AC60" t="str">
            <v>גולדפלד  לירון</v>
          </cell>
          <cell r="AD60" t="str">
            <v>Acount Man</v>
          </cell>
          <cell r="AE60">
            <v>2</v>
          </cell>
          <cell r="AF60">
            <v>6</v>
          </cell>
          <cell r="AG60">
            <v>1584.22</v>
          </cell>
          <cell r="AH60">
            <v>511.5</v>
          </cell>
          <cell r="AI60">
            <v>425</v>
          </cell>
        </row>
        <row r="61">
          <cell r="A61" t="str">
            <v>אינישיה בע"מ</v>
          </cell>
          <cell r="B61">
            <v>2005</v>
          </cell>
          <cell r="C61">
            <v>11</v>
          </cell>
          <cell r="D61">
            <v>410</v>
          </cell>
          <cell r="E61" t="str">
            <v>פרס  צמח</v>
          </cell>
          <cell r="F61" t="str">
            <v>שרות</v>
          </cell>
          <cell r="G61">
            <v>0</v>
          </cell>
          <cell r="H61">
            <v>4773.2</v>
          </cell>
          <cell r="I61">
            <v>4773.2</v>
          </cell>
          <cell r="J61">
            <v>158.65</v>
          </cell>
          <cell r="K61">
            <v>913.88</v>
          </cell>
          <cell r="L61">
            <v>678.81</v>
          </cell>
          <cell r="M61">
            <v>65.2</v>
          </cell>
          <cell r="N61">
            <v>926.62</v>
          </cell>
          <cell r="R61">
            <v>5455.09</v>
          </cell>
          <cell r="S61">
            <v>98.83</v>
          </cell>
          <cell r="T61">
            <v>158.65</v>
          </cell>
          <cell r="U61">
            <v>304.63</v>
          </cell>
          <cell r="W61">
            <v>0</v>
          </cell>
          <cell r="X61">
            <v>290.72000000000003</v>
          </cell>
          <cell r="Y61">
            <v>4225</v>
          </cell>
          <cell r="Z61">
            <v>-50</v>
          </cell>
          <cell r="AA61">
            <v>10387</v>
          </cell>
          <cell r="AB61">
            <v>4</v>
          </cell>
          <cell r="AC61" t="str">
            <v>גורביץ  ארקדי</v>
          </cell>
          <cell r="AD61" t="str">
            <v>מכניקה</v>
          </cell>
          <cell r="AE61">
            <v>4</v>
          </cell>
          <cell r="AF61">
            <v>12</v>
          </cell>
          <cell r="AG61">
            <v>3476.27</v>
          </cell>
          <cell r="AH61">
            <v>5430.12</v>
          </cell>
          <cell r="AI61">
            <v>444.24</v>
          </cell>
        </row>
        <row r="62">
          <cell r="A62" t="str">
            <v>אינישיה בע"מ</v>
          </cell>
          <cell r="B62">
            <v>2005</v>
          </cell>
          <cell r="C62">
            <v>11</v>
          </cell>
          <cell r="D62">
            <v>411</v>
          </cell>
          <cell r="E62" t="str">
            <v>ספיבק  אלברט</v>
          </cell>
          <cell r="F62" t="str">
            <v>מכניקה</v>
          </cell>
          <cell r="G62">
            <v>0</v>
          </cell>
          <cell r="H62">
            <v>9667</v>
          </cell>
          <cell r="I62">
            <v>9667</v>
          </cell>
          <cell r="J62">
            <v>327.25</v>
          </cell>
          <cell r="K62">
            <v>1178.4000000000001</v>
          </cell>
          <cell r="L62">
            <v>678.81</v>
          </cell>
          <cell r="M62">
            <v>65.2</v>
          </cell>
          <cell r="N62">
            <v>433.97</v>
          </cell>
          <cell r="R62">
            <v>11076.35</v>
          </cell>
          <cell r="S62">
            <v>1392.06</v>
          </cell>
          <cell r="T62">
            <v>327.25</v>
          </cell>
          <cell r="U62">
            <v>392.8</v>
          </cell>
          <cell r="W62">
            <v>0</v>
          </cell>
          <cell r="X62">
            <v>798.69</v>
          </cell>
          <cell r="Y62">
            <v>7149</v>
          </cell>
          <cell r="AA62">
            <v>7149</v>
          </cell>
          <cell r="AB62">
            <v>4</v>
          </cell>
          <cell r="AC62" t="str">
            <v>ספיבק  אלברט</v>
          </cell>
          <cell r="AD62" t="str">
            <v>מכניקה</v>
          </cell>
          <cell r="AE62">
            <v>4</v>
          </cell>
          <cell r="AF62">
            <v>11</v>
          </cell>
          <cell r="AG62">
            <v>1409.35</v>
          </cell>
          <cell r="AH62">
            <v>2190.75</v>
          </cell>
          <cell r="AI62">
            <v>445</v>
          </cell>
        </row>
        <row r="63">
          <cell r="A63" t="str">
            <v>אינישיה בע"מ</v>
          </cell>
          <cell r="B63">
            <v>2005</v>
          </cell>
          <cell r="C63">
            <v>11</v>
          </cell>
          <cell r="D63">
            <v>412</v>
          </cell>
          <cell r="E63" t="str">
            <v>סנקין  מרגריטה</v>
          </cell>
          <cell r="F63" t="str">
            <v>רגולציה</v>
          </cell>
          <cell r="G63">
            <v>0</v>
          </cell>
          <cell r="H63">
            <v>7317</v>
          </cell>
          <cell r="I63">
            <v>7317</v>
          </cell>
          <cell r="J63">
            <v>245</v>
          </cell>
          <cell r="K63">
            <v>1178.4000000000001</v>
          </cell>
          <cell r="L63">
            <v>678.81</v>
          </cell>
          <cell r="M63">
            <v>65.2</v>
          </cell>
          <cell r="N63">
            <v>465.21</v>
          </cell>
          <cell r="R63">
            <v>8373.59</v>
          </cell>
          <cell r="S63">
            <v>576.24</v>
          </cell>
          <cell r="T63">
            <v>245</v>
          </cell>
          <cell r="U63">
            <v>392.8</v>
          </cell>
          <cell r="W63">
            <v>0</v>
          </cell>
          <cell r="X63">
            <v>554.76</v>
          </cell>
          <cell r="Y63">
            <v>5941</v>
          </cell>
          <cell r="AA63">
            <v>5941</v>
          </cell>
          <cell r="AB63">
            <v>4</v>
          </cell>
          <cell r="AC63" t="str">
            <v>סנקין  מרגריטה</v>
          </cell>
          <cell r="AD63" t="str">
            <v>רגולציה</v>
          </cell>
          <cell r="AE63">
            <v>4</v>
          </cell>
          <cell r="AF63">
            <v>11</v>
          </cell>
          <cell r="AG63">
            <v>1056.5899999999999</v>
          </cell>
          <cell r="AH63">
            <v>1131</v>
          </cell>
          <cell r="AI63">
            <v>720.71</v>
          </cell>
        </row>
        <row r="64">
          <cell r="A64" t="str">
            <v>אינישיה בע"מ</v>
          </cell>
          <cell r="B64">
            <v>2005</v>
          </cell>
          <cell r="C64">
            <v>11</v>
          </cell>
          <cell r="D64">
            <v>413</v>
          </cell>
          <cell r="E64" t="str">
            <v>שפילמן  יעל</v>
          </cell>
          <cell r="F64" t="str">
            <v>רגולציה</v>
          </cell>
          <cell r="G64">
            <v>0</v>
          </cell>
          <cell r="H64">
            <v>7317</v>
          </cell>
          <cell r="I64">
            <v>7317</v>
          </cell>
          <cell r="J64">
            <v>245</v>
          </cell>
          <cell r="K64">
            <v>1178.4000000000001</v>
          </cell>
          <cell r="L64">
            <v>678.81</v>
          </cell>
          <cell r="M64">
            <v>65.2</v>
          </cell>
          <cell r="N64">
            <v>768.48</v>
          </cell>
          <cell r="R64">
            <v>8373.59</v>
          </cell>
          <cell r="S64">
            <v>566.24</v>
          </cell>
          <cell r="T64">
            <v>245</v>
          </cell>
          <cell r="U64">
            <v>392.8</v>
          </cell>
          <cell r="W64">
            <v>0</v>
          </cell>
          <cell r="X64">
            <v>554.76</v>
          </cell>
          <cell r="Y64">
            <v>5951</v>
          </cell>
          <cell r="AA64">
            <v>5951</v>
          </cell>
          <cell r="AB64">
            <v>4</v>
          </cell>
          <cell r="AC64" t="str">
            <v>שפילמן  יעל</v>
          </cell>
          <cell r="AD64" t="str">
            <v>רגולציה</v>
          </cell>
          <cell r="AE64">
            <v>4</v>
          </cell>
          <cell r="AF64">
            <v>11</v>
          </cell>
          <cell r="AG64">
            <v>1056.5899999999999</v>
          </cell>
          <cell r="AH64">
            <v>1121</v>
          </cell>
          <cell r="AI64">
            <v>400.71</v>
          </cell>
        </row>
        <row r="65">
          <cell r="A65" t="str">
            <v>אינישיה בע"מ</v>
          </cell>
          <cell r="B65">
            <v>2005</v>
          </cell>
          <cell r="C65">
            <v>11</v>
          </cell>
          <cell r="D65">
            <v>418</v>
          </cell>
          <cell r="E65" t="str">
            <v>שלימק  דוד</v>
          </cell>
          <cell r="F65" t="str">
            <v>שרות</v>
          </cell>
          <cell r="G65">
            <v>0</v>
          </cell>
          <cell r="H65">
            <v>15056</v>
          </cell>
          <cell r="I65">
            <v>13681</v>
          </cell>
          <cell r="J65">
            <v>472.45</v>
          </cell>
          <cell r="K65">
            <v>1178.4000000000001</v>
          </cell>
          <cell r="L65">
            <v>832.92</v>
          </cell>
          <cell r="M65">
            <v>80</v>
          </cell>
          <cell r="N65">
            <v>550.45000000000005</v>
          </cell>
          <cell r="R65">
            <v>15783.55</v>
          </cell>
          <cell r="S65">
            <v>3280.48</v>
          </cell>
          <cell r="T65">
            <v>472.45</v>
          </cell>
          <cell r="U65">
            <v>392.8</v>
          </cell>
          <cell r="W65">
            <v>0</v>
          </cell>
          <cell r="X65">
            <v>834.98</v>
          </cell>
          <cell r="Y65">
            <v>8945</v>
          </cell>
          <cell r="Z65">
            <v>-434.3</v>
          </cell>
          <cell r="AA65">
            <v>9379.2999999999993</v>
          </cell>
          <cell r="AB65">
            <v>4</v>
          </cell>
          <cell r="AC65" t="str">
            <v>גולדפלד  לירון</v>
          </cell>
          <cell r="AD65" t="str">
            <v>Acount Man</v>
          </cell>
          <cell r="AE65">
            <v>4</v>
          </cell>
          <cell r="AF65">
            <v>11</v>
          </cell>
          <cell r="AG65">
            <v>1963.32</v>
          </cell>
          <cell r="AH65">
            <v>1055.05</v>
          </cell>
          <cell r="AI65">
            <v>320.70999999999998</v>
          </cell>
        </row>
        <row r="66">
          <cell r="A66" t="str">
            <v>אינישיה בע"מ</v>
          </cell>
          <cell r="B66">
            <v>2005</v>
          </cell>
          <cell r="C66">
            <v>11</v>
          </cell>
          <cell r="D66">
            <v>419</v>
          </cell>
          <cell r="E66" t="str">
            <v>עין גל  משה</v>
          </cell>
          <cell r="F66" t="str">
            <v>ניהול</v>
          </cell>
          <cell r="G66">
            <v>0</v>
          </cell>
          <cell r="H66">
            <v>30317</v>
          </cell>
          <cell r="I66">
            <v>30317</v>
          </cell>
          <cell r="J66">
            <v>1034.28</v>
          </cell>
          <cell r="K66">
            <v>1178.4000000000001</v>
          </cell>
          <cell r="L66">
            <v>1723.11</v>
          </cell>
          <cell r="M66">
            <v>0</v>
          </cell>
          <cell r="N66">
            <v>1691.63</v>
          </cell>
          <cell r="R66">
            <v>32008.63</v>
          </cell>
          <cell r="S66">
            <v>14855</v>
          </cell>
          <cell r="T66">
            <v>1034.28</v>
          </cell>
          <cell r="U66">
            <v>392.8</v>
          </cell>
          <cell r="W66">
            <v>0</v>
          </cell>
          <cell r="X66">
            <v>935.07</v>
          </cell>
          <cell r="Y66">
            <v>8170</v>
          </cell>
          <cell r="Z66">
            <v>-246.9</v>
          </cell>
          <cell r="AA66">
            <v>15462</v>
          </cell>
          <cell r="AB66">
            <v>4</v>
          </cell>
          <cell r="AC66" t="str">
            <v>עין גל  משה</v>
          </cell>
          <cell r="AD66" t="str">
            <v>ניהול</v>
          </cell>
          <cell r="AE66">
            <v>4</v>
          </cell>
          <cell r="AF66">
            <v>11</v>
          </cell>
          <cell r="AG66">
            <v>1691.63</v>
          </cell>
          <cell r="AH66">
            <v>14855</v>
          </cell>
          <cell r="AI66">
            <v>1154.8699999999999</v>
          </cell>
        </row>
        <row r="67">
          <cell r="A67" t="str">
            <v>אינישיה בע"מ</v>
          </cell>
          <cell r="B67">
            <v>2005</v>
          </cell>
          <cell r="C67">
            <v>11</v>
          </cell>
          <cell r="D67">
            <v>420</v>
          </cell>
          <cell r="E67" t="str">
            <v>פריד  ערן</v>
          </cell>
          <cell r="F67" t="str">
            <v>שרות</v>
          </cell>
          <cell r="G67">
            <v>0</v>
          </cell>
          <cell r="H67">
            <v>8717</v>
          </cell>
          <cell r="I67">
            <v>8717</v>
          </cell>
          <cell r="J67">
            <v>280</v>
          </cell>
          <cell r="K67">
            <v>1178.4000000000001</v>
          </cell>
          <cell r="L67">
            <v>466.48</v>
          </cell>
          <cell r="M67">
            <v>0</v>
          </cell>
          <cell r="N67">
            <v>482.94</v>
          </cell>
          <cell r="R67">
            <v>9946.42</v>
          </cell>
          <cell r="S67">
            <v>1098.92</v>
          </cell>
          <cell r="T67">
            <v>280</v>
          </cell>
          <cell r="U67">
            <v>392.8</v>
          </cell>
          <cell r="W67">
            <v>0</v>
          </cell>
          <cell r="X67">
            <v>1345.27</v>
          </cell>
          <cell r="Y67">
            <v>11934</v>
          </cell>
          <cell r="AA67">
            <v>6638</v>
          </cell>
          <cell r="AB67">
            <v>4</v>
          </cell>
          <cell r="AC67" t="str">
            <v>פריד  ערן</v>
          </cell>
          <cell r="AD67" t="str">
            <v>שרות</v>
          </cell>
          <cell r="AE67">
            <v>4</v>
          </cell>
          <cell r="AF67">
            <v>11</v>
          </cell>
          <cell r="AG67">
            <v>1229.42</v>
          </cell>
          <cell r="AH67">
            <v>1799</v>
          </cell>
          <cell r="AI67">
            <v>73.16</v>
          </cell>
        </row>
        <row r="68">
          <cell r="A68" t="str">
            <v>אינישיה בע"מ</v>
          </cell>
          <cell r="B68">
            <v>2005</v>
          </cell>
          <cell r="C68">
            <v>11</v>
          </cell>
          <cell r="D68">
            <v>421</v>
          </cell>
          <cell r="E68" t="str">
            <v>בן עזרא  ניסים</v>
          </cell>
          <cell r="F68" t="str">
            <v>מכניקה</v>
          </cell>
          <cell r="G68">
            <v>0</v>
          </cell>
          <cell r="H68">
            <v>10517</v>
          </cell>
          <cell r="I68">
            <v>10517</v>
          </cell>
          <cell r="J68">
            <v>1036.6199999999999</v>
          </cell>
          <cell r="K68">
            <v>1178.4000000000001</v>
          </cell>
          <cell r="L68">
            <v>1727.01</v>
          </cell>
          <cell r="M68">
            <v>0</v>
          </cell>
          <cell r="N68">
            <v>533.64</v>
          </cell>
          <cell r="R68">
            <v>11050.64</v>
          </cell>
          <cell r="S68">
            <v>1576.35</v>
          </cell>
          <cell r="T68">
            <v>1036.6199999999999</v>
          </cell>
          <cell r="U68">
            <v>392.8</v>
          </cell>
          <cell r="W68">
            <v>0</v>
          </cell>
          <cell r="X68">
            <v>751.65</v>
          </cell>
          <cell r="Y68">
            <v>8189</v>
          </cell>
          <cell r="Z68">
            <v>-420.73</v>
          </cell>
          <cell r="AA68">
            <v>11778</v>
          </cell>
          <cell r="AB68">
            <v>1</v>
          </cell>
          <cell r="AC68" t="str">
            <v>טבוך אופנבך  ריקי</v>
          </cell>
          <cell r="AD68" t="str">
            <v>כספים</v>
          </cell>
          <cell r="AE68">
            <v>1</v>
          </cell>
          <cell r="AF68">
            <v>2</v>
          </cell>
          <cell r="AG68">
            <v>3673.72</v>
          </cell>
          <cell r="AH68">
            <v>2247</v>
          </cell>
          <cell r="AI68">
            <v>433.66</v>
          </cell>
        </row>
        <row r="69">
          <cell r="A69" t="str">
            <v>אינישיה בע"מ</v>
          </cell>
          <cell r="B69">
            <v>2005</v>
          </cell>
          <cell r="C69">
            <v>11</v>
          </cell>
          <cell r="D69">
            <v>426</v>
          </cell>
          <cell r="E69" t="str">
            <v>ליבה  הדר</v>
          </cell>
          <cell r="F69" t="str">
            <v>ע. פיתוח</v>
          </cell>
          <cell r="G69">
            <v>0</v>
          </cell>
          <cell r="H69">
            <v>2913.35</v>
          </cell>
          <cell r="I69">
            <v>2913.35</v>
          </cell>
          <cell r="J69">
            <v>1034.42</v>
          </cell>
          <cell r="K69">
            <v>1178.4000000000001</v>
          </cell>
          <cell r="L69">
            <v>1723.34</v>
          </cell>
          <cell r="M69">
            <v>0</v>
          </cell>
          <cell r="N69">
            <v>155.03</v>
          </cell>
          <cell r="R69">
            <v>3068.38</v>
          </cell>
          <cell r="S69">
            <v>6249.58</v>
          </cell>
          <cell r="T69">
            <v>1034.42</v>
          </cell>
          <cell r="U69">
            <v>392.8</v>
          </cell>
          <cell r="W69">
            <v>0</v>
          </cell>
          <cell r="X69">
            <v>131.35</v>
          </cell>
          <cell r="Y69">
            <v>2782</v>
          </cell>
          <cell r="AA69">
            <v>2782</v>
          </cell>
          <cell r="AB69">
            <v>4</v>
          </cell>
          <cell r="AC69" t="str">
            <v>ליבה  הדר</v>
          </cell>
          <cell r="AD69" t="str">
            <v>ע. פיתוח</v>
          </cell>
          <cell r="AE69">
            <v>4</v>
          </cell>
          <cell r="AF69">
            <v>11</v>
          </cell>
          <cell r="AG69">
            <v>155.03</v>
          </cell>
          <cell r="AH69">
            <v>131.35</v>
          </cell>
          <cell r="AI69">
            <v>85</v>
          </cell>
        </row>
        <row r="70">
          <cell r="A70" t="str">
            <v>אינישיה בע"מ</v>
          </cell>
          <cell r="B70">
            <v>2005</v>
          </cell>
          <cell r="C70">
            <v>11</v>
          </cell>
          <cell r="D70">
            <v>427</v>
          </cell>
          <cell r="E70" t="str">
            <v>בלום דדוש  אורנה</v>
          </cell>
          <cell r="F70" t="str">
            <v>אדמנסטרציה</v>
          </cell>
          <cell r="G70">
            <v>0</v>
          </cell>
          <cell r="H70">
            <v>13317</v>
          </cell>
          <cell r="I70">
            <v>13317</v>
          </cell>
          <cell r="J70">
            <v>650</v>
          </cell>
          <cell r="K70">
            <v>1178.4000000000001</v>
          </cell>
          <cell r="L70">
            <v>1082.9000000000001</v>
          </cell>
          <cell r="M70">
            <v>145.34</v>
          </cell>
          <cell r="N70">
            <v>744.22</v>
          </cell>
          <cell r="R70">
            <v>15939.46</v>
          </cell>
          <cell r="S70">
            <v>2368.44</v>
          </cell>
          <cell r="T70">
            <v>650</v>
          </cell>
          <cell r="U70">
            <v>392.8</v>
          </cell>
          <cell r="W70">
            <v>0</v>
          </cell>
          <cell r="X70">
            <v>1177.56</v>
          </cell>
          <cell r="Y70">
            <v>9121</v>
          </cell>
          <cell r="Z70">
            <v>-129.55000000000001</v>
          </cell>
          <cell r="AA70">
            <v>9121</v>
          </cell>
          <cell r="AB70">
            <v>4</v>
          </cell>
          <cell r="AC70" t="str">
            <v>בלום דדוש  אורנה</v>
          </cell>
          <cell r="AD70" t="str">
            <v>אדמנסטרציה</v>
          </cell>
          <cell r="AE70">
            <v>4</v>
          </cell>
          <cell r="AF70">
            <v>11</v>
          </cell>
          <cell r="AG70">
            <v>2622.46</v>
          </cell>
          <cell r="AH70">
            <v>3546</v>
          </cell>
          <cell r="AI70">
            <v>335</v>
          </cell>
        </row>
        <row r="71">
          <cell r="A71" t="str">
            <v>אינישיה בע"מ</v>
          </cell>
          <cell r="B71">
            <v>2005</v>
          </cell>
          <cell r="C71">
            <v>11</v>
          </cell>
          <cell r="D71">
            <v>429</v>
          </cell>
          <cell r="E71" t="str">
            <v>פרנקל  אדוארד</v>
          </cell>
          <cell r="F71" t="str">
            <v>מכניקה</v>
          </cell>
          <cell r="G71">
            <v>0</v>
          </cell>
          <cell r="H71">
            <v>12465.08</v>
          </cell>
          <cell r="I71">
            <v>12465.08</v>
          </cell>
          <cell r="J71">
            <v>420</v>
          </cell>
          <cell r="K71">
            <v>1178.4000000000001</v>
          </cell>
          <cell r="L71">
            <v>699.72</v>
          </cell>
          <cell r="M71">
            <v>0</v>
          </cell>
          <cell r="N71">
            <v>695.83</v>
          </cell>
          <cell r="R71">
            <v>14280.63</v>
          </cell>
          <cell r="S71">
            <v>2332.94</v>
          </cell>
          <cell r="T71">
            <v>420</v>
          </cell>
          <cell r="U71">
            <v>392.8</v>
          </cell>
          <cell r="W71">
            <v>0</v>
          </cell>
          <cell r="X71">
            <v>1783.68</v>
          </cell>
          <cell r="Y71">
            <v>13507</v>
          </cell>
          <cell r="Z71">
            <v>-120</v>
          </cell>
          <cell r="AA71">
            <v>13507</v>
          </cell>
          <cell r="AB71">
            <v>2</v>
          </cell>
          <cell r="AC71" t="str">
            <v>טבוך אופנבך  ריקי</v>
          </cell>
          <cell r="AD71" t="str">
            <v>כספים</v>
          </cell>
          <cell r="AE71">
            <v>2</v>
          </cell>
          <cell r="AF71">
            <v>5</v>
          </cell>
          <cell r="AG71">
            <v>4631.42</v>
          </cell>
          <cell r="AH71">
            <v>3663</v>
          </cell>
          <cell r="AI71">
            <v>326.61</v>
          </cell>
        </row>
        <row r="72">
          <cell r="A72" t="str">
            <v>אינישיה בע"מ</v>
          </cell>
          <cell r="B72">
            <v>2005</v>
          </cell>
          <cell r="C72">
            <v>11</v>
          </cell>
          <cell r="D72">
            <v>430</v>
          </cell>
          <cell r="E72" t="str">
            <v>לייזרוביץ'  עמיר</v>
          </cell>
          <cell r="F72" t="str">
            <v>QA</v>
          </cell>
          <cell r="G72">
            <v>0</v>
          </cell>
          <cell r="H72">
            <v>11317</v>
          </cell>
          <cell r="I72">
            <v>11317</v>
          </cell>
          <cell r="J72">
            <v>385</v>
          </cell>
          <cell r="K72">
            <v>1178.4000000000001</v>
          </cell>
          <cell r="L72">
            <v>641.41</v>
          </cell>
          <cell r="M72">
            <v>0</v>
          </cell>
          <cell r="N72">
            <v>630.62</v>
          </cell>
          <cell r="R72">
            <v>12974.03</v>
          </cell>
          <cell r="S72">
            <v>1924.04</v>
          </cell>
          <cell r="T72">
            <v>385</v>
          </cell>
          <cell r="U72">
            <v>392.8</v>
          </cell>
          <cell r="W72">
            <v>0</v>
          </cell>
          <cell r="X72">
            <v>969.96</v>
          </cell>
          <cell r="Y72">
            <v>8038</v>
          </cell>
          <cell r="Z72">
            <v>-25</v>
          </cell>
          <cell r="AA72">
            <v>13462</v>
          </cell>
          <cell r="AB72">
            <v>2</v>
          </cell>
          <cell r="AC72" t="str">
            <v>טבוך אופנבך  ריקי</v>
          </cell>
          <cell r="AD72" t="str">
            <v>כספים</v>
          </cell>
          <cell r="AE72">
            <v>2</v>
          </cell>
          <cell r="AF72">
            <v>6</v>
          </cell>
          <cell r="AG72">
            <v>4638.66</v>
          </cell>
          <cell r="AH72">
            <v>3708</v>
          </cell>
          <cell r="AI72">
            <v>433.84</v>
          </cell>
        </row>
        <row r="73">
          <cell r="A73" t="str">
            <v>אינישיה בע"מ</v>
          </cell>
          <cell r="B73">
            <v>2005</v>
          </cell>
          <cell r="C73">
            <v>11</v>
          </cell>
          <cell r="D73">
            <v>431</v>
          </cell>
          <cell r="E73" t="str">
            <v>ריבר  טדי</v>
          </cell>
          <cell r="F73" t="str">
            <v>אלקטרוניקה</v>
          </cell>
          <cell r="G73">
            <v>0</v>
          </cell>
          <cell r="H73">
            <v>23417.07</v>
          </cell>
          <cell r="I73">
            <v>23417.07</v>
          </cell>
          <cell r="J73">
            <v>352.97</v>
          </cell>
          <cell r="K73">
            <v>529.46</v>
          </cell>
          <cell r="L73">
            <v>588.04999999999995</v>
          </cell>
          <cell r="M73">
            <v>146.13</v>
          </cell>
          <cell r="N73">
            <v>1317.9</v>
          </cell>
          <cell r="R73">
            <v>26351.58</v>
          </cell>
          <cell r="S73">
            <v>6372.66</v>
          </cell>
          <cell r="T73">
            <v>352.97</v>
          </cell>
          <cell r="U73">
            <v>176.49</v>
          </cell>
          <cell r="W73">
            <v>0</v>
          </cell>
          <cell r="X73">
            <v>2225.9499999999998</v>
          </cell>
          <cell r="Y73">
            <v>14289</v>
          </cell>
          <cell r="Z73">
            <v>-417.91</v>
          </cell>
          <cell r="AA73">
            <v>14289</v>
          </cell>
          <cell r="AB73">
            <v>4</v>
          </cell>
          <cell r="AC73" t="str">
            <v>ריבר  טדי</v>
          </cell>
          <cell r="AD73" t="str">
            <v>אלקטרוניקה</v>
          </cell>
          <cell r="AE73">
            <v>4</v>
          </cell>
          <cell r="AF73">
            <v>11</v>
          </cell>
          <cell r="AG73">
            <v>2934.51</v>
          </cell>
          <cell r="AH73">
            <v>8598.61</v>
          </cell>
          <cell r="AI73">
            <v>85</v>
          </cell>
        </row>
        <row r="74">
          <cell r="A74" t="str">
            <v>אינישיה בע"מ</v>
          </cell>
          <cell r="B74">
            <v>2005</v>
          </cell>
          <cell r="C74">
            <v>11</v>
          </cell>
          <cell r="D74">
            <v>432</v>
          </cell>
          <cell r="E74" t="str">
            <v>שורץ  אורלי</v>
          </cell>
          <cell r="F74" t="str">
            <v>ע. פיתוח</v>
          </cell>
          <cell r="G74">
            <v>0</v>
          </cell>
          <cell r="H74">
            <v>2589.85</v>
          </cell>
          <cell r="I74">
            <v>2589.85</v>
          </cell>
          <cell r="J74">
            <v>820</v>
          </cell>
          <cell r="K74">
            <v>1230</v>
          </cell>
          <cell r="L74">
            <v>1366.12</v>
          </cell>
          <cell r="M74">
            <v>131.19999999999999</v>
          </cell>
          <cell r="N74">
            <v>137.74</v>
          </cell>
          <cell r="R74">
            <v>2727.59</v>
          </cell>
          <cell r="S74">
            <v>2566.11</v>
          </cell>
          <cell r="T74">
            <v>820</v>
          </cell>
          <cell r="U74">
            <v>410</v>
          </cell>
          <cell r="W74">
            <v>0</v>
          </cell>
          <cell r="X74">
            <v>2049.89</v>
          </cell>
          <cell r="Y74">
            <v>14554</v>
          </cell>
          <cell r="Z74">
            <v>-295</v>
          </cell>
          <cell r="AA74">
            <v>14554</v>
          </cell>
          <cell r="AB74">
            <v>3</v>
          </cell>
          <cell r="AC74" t="str">
            <v>טבוך אופנבך  ריקי</v>
          </cell>
          <cell r="AD74" t="str">
            <v>כספים</v>
          </cell>
          <cell r="AE74">
            <v>3</v>
          </cell>
          <cell r="AF74">
            <v>8</v>
          </cell>
          <cell r="AG74">
            <v>4781.16</v>
          </cell>
          <cell r="AH74">
            <v>4616</v>
          </cell>
          <cell r="AI74">
            <v>545</v>
          </cell>
        </row>
        <row r="75">
          <cell r="A75" t="str">
            <v>אינישיה בע"מ</v>
          </cell>
          <cell r="B75">
            <v>2005</v>
          </cell>
          <cell r="C75">
            <v>11</v>
          </cell>
          <cell r="D75">
            <v>437</v>
          </cell>
          <cell r="E75" t="str">
            <v>פוני  טלי</v>
          </cell>
          <cell r="F75" t="str">
            <v>SQA</v>
          </cell>
          <cell r="G75">
            <v>0</v>
          </cell>
          <cell r="H75">
            <v>16817</v>
          </cell>
          <cell r="I75">
            <v>16817</v>
          </cell>
          <cell r="J75">
            <v>660</v>
          </cell>
          <cell r="K75">
            <v>1230</v>
          </cell>
          <cell r="L75">
            <v>1099.56</v>
          </cell>
          <cell r="M75">
            <v>100</v>
          </cell>
          <cell r="N75">
            <v>25.1</v>
          </cell>
          <cell r="R75">
            <v>19619.580000000002</v>
          </cell>
          <cell r="S75">
            <v>3251.14</v>
          </cell>
          <cell r="T75">
            <v>660</v>
          </cell>
          <cell r="U75">
            <v>410</v>
          </cell>
          <cell r="W75">
            <v>0</v>
          </cell>
          <cell r="X75">
            <v>1540.86</v>
          </cell>
          <cell r="Y75">
            <v>3803.6</v>
          </cell>
          <cell r="Z75">
            <v>-2205.44</v>
          </cell>
          <cell r="AA75">
            <v>11365</v>
          </cell>
          <cell r="AB75">
            <v>4</v>
          </cell>
          <cell r="AC75" t="str">
            <v>פוני  טלי</v>
          </cell>
          <cell r="AD75" t="str">
            <v>SQA</v>
          </cell>
          <cell r="AE75">
            <v>4</v>
          </cell>
          <cell r="AF75">
            <v>11</v>
          </cell>
          <cell r="AG75">
            <v>2802.58</v>
          </cell>
          <cell r="AH75">
            <v>4792</v>
          </cell>
          <cell r="AI75">
            <v>686.61</v>
          </cell>
        </row>
        <row r="76">
          <cell r="A76" t="str">
            <v>אינישיה בע"מ</v>
          </cell>
          <cell r="B76">
            <v>2005</v>
          </cell>
          <cell r="C76">
            <v>11</v>
          </cell>
          <cell r="D76">
            <v>442</v>
          </cell>
          <cell r="E76" t="str">
            <v>הרן  יוסי</v>
          </cell>
          <cell r="F76" t="str">
            <v>נ.פרויקטים</v>
          </cell>
          <cell r="G76">
            <v>0</v>
          </cell>
          <cell r="H76">
            <v>24903</v>
          </cell>
          <cell r="I76">
            <v>23613</v>
          </cell>
          <cell r="J76">
            <v>944.5</v>
          </cell>
          <cell r="K76">
            <v>1230</v>
          </cell>
          <cell r="L76">
            <v>1573.54</v>
          </cell>
          <cell r="M76">
            <v>170.01</v>
          </cell>
          <cell r="N76">
            <v>25.1</v>
          </cell>
          <cell r="R76">
            <v>27703.35</v>
          </cell>
          <cell r="S76">
            <v>6911.31</v>
          </cell>
          <cell r="T76">
            <v>944.5</v>
          </cell>
          <cell r="U76">
            <v>410</v>
          </cell>
          <cell r="W76">
            <v>0</v>
          </cell>
          <cell r="X76">
            <v>1791.6</v>
          </cell>
          <cell r="Y76">
            <v>13479</v>
          </cell>
          <cell r="Z76">
            <v>14.4</v>
          </cell>
          <cell r="AA76">
            <v>13479</v>
          </cell>
          <cell r="AB76">
            <v>4</v>
          </cell>
          <cell r="AC76" t="str">
            <v>טבוך אופנבך  ריקי</v>
          </cell>
          <cell r="AD76" t="str">
            <v>כספים</v>
          </cell>
          <cell r="AE76">
            <v>4</v>
          </cell>
          <cell r="AF76">
            <v>10</v>
          </cell>
          <cell r="AG76">
            <v>4635.87</v>
          </cell>
          <cell r="AH76">
            <v>3691</v>
          </cell>
          <cell r="AI76">
            <v>392.61</v>
          </cell>
        </row>
        <row r="77">
          <cell r="A77" t="str">
            <v>אינישיה בע"מ</v>
          </cell>
          <cell r="B77">
            <v>2005</v>
          </cell>
          <cell r="C77">
            <v>11</v>
          </cell>
          <cell r="D77">
            <v>443</v>
          </cell>
          <cell r="E77" t="str">
            <v>אברמוב  רוסלן</v>
          </cell>
          <cell r="F77" t="str">
            <v>תוכנה</v>
          </cell>
          <cell r="G77">
            <v>0</v>
          </cell>
          <cell r="H77">
            <v>11317</v>
          </cell>
          <cell r="I77">
            <v>11317</v>
          </cell>
          <cell r="J77">
            <v>820</v>
          </cell>
          <cell r="K77">
            <v>1230</v>
          </cell>
          <cell r="L77">
            <v>1366.12</v>
          </cell>
          <cell r="M77">
            <v>131.19999999999999</v>
          </cell>
          <cell r="N77">
            <v>630.62</v>
          </cell>
          <cell r="R77">
            <v>11947.62</v>
          </cell>
          <cell r="S77">
            <v>2011.04</v>
          </cell>
          <cell r="T77">
            <v>820</v>
          </cell>
          <cell r="U77">
            <v>410</v>
          </cell>
          <cell r="W77">
            <v>0</v>
          </cell>
          <cell r="X77">
            <v>1789.9</v>
          </cell>
          <cell r="Y77">
            <v>13485</v>
          </cell>
          <cell r="Z77">
            <v>-1186.23</v>
          </cell>
          <cell r="AA77">
            <v>8336</v>
          </cell>
          <cell r="AB77">
            <v>4</v>
          </cell>
          <cell r="AC77" t="str">
            <v>אברמוב  רוסלן</v>
          </cell>
          <cell r="AD77" t="str">
            <v>תוכנה</v>
          </cell>
          <cell r="AE77">
            <v>4</v>
          </cell>
          <cell r="AF77">
            <v>11</v>
          </cell>
          <cell r="AG77">
            <v>630.62</v>
          </cell>
          <cell r="AH77">
            <v>2981</v>
          </cell>
          <cell r="AI77">
            <v>250</v>
          </cell>
        </row>
        <row r="78">
          <cell r="A78" t="str">
            <v>אינישיה בע"מ</v>
          </cell>
          <cell r="B78">
            <v>2005</v>
          </cell>
          <cell r="C78">
            <v>11</v>
          </cell>
          <cell r="D78">
            <v>445</v>
          </cell>
          <cell r="E78" t="str">
            <v>ריבלסקי  אלכסנדרה</v>
          </cell>
          <cell r="F78" t="str">
            <v>שיווק</v>
          </cell>
          <cell r="G78">
            <v>0</v>
          </cell>
          <cell r="H78">
            <v>3963.18</v>
          </cell>
          <cell r="I78">
            <v>3963.18</v>
          </cell>
          <cell r="J78">
            <v>820</v>
          </cell>
          <cell r="K78">
            <v>1230</v>
          </cell>
          <cell r="L78">
            <v>1366.12</v>
          </cell>
          <cell r="M78">
            <v>131.19999999999999</v>
          </cell>
          <cell r="N78">
            <v>213.38</v>
          </cell>
          <cell r="R78">
            <v>4176.5600000000004</v>
          </cell>
          <cell r="S78">
            <v>1936.82</v>
          </cell>
          <cell r="T78">
            <v>820</v>
          </cell>
          <cell r="U78">
            <v>410</v>
          </cell>
          <cell r="W78">
            <v>0</v>
          </cell>
          <cell r="X78">
            <v>1806.18</v>
          </cell>
          <cell r="Y78">
            <v>13427</v>
          </cell>
          <cell r="Z78">
            <v>-2084.3200000000002</v>
          </cell>
          <cell r="AA78">
            <v>3757</v>
          </cell>
          <cell r="AB78">
            <v>4</v>
          </cell>
          <cell r="AC78" t="str">
            <v>ריבלסקי  אלכסנדרה</v>
          </cell>
          <cell r="AD78" t="str">
            <v>שיווק</v>
          </cell>
          <cell r="AE78">
            <v>4</v>
          </cell>
          <cell r="AF78">
            <v>11</v>
          </cell>
          <cell r="AG78">
            <v>213.38</v>
          </cell>
          <cell r="AH78">
            <v>206.18</v>
          </cell>
          <cell r="AI78">
            <v>514.08000000000004</v>
          </cell>
        </row>
        <row r="79">
          <cell r="A79" t="str">
            <v>אינישיה בע"מ</v>
          </cell>
          <cell r="B79">
            <v>2005</v>
          </cell>
          <cell r="C79">
            <v>11</v>
          </cell>
          <cell r="D79">
            <v>446</v>
          </cell>
          <cell r="E79" t="str">
            <v>שגב  ארז</v>
          </cell>
          <cell r="F79" t="str">
            <v>שרות</v>
          </cell>
          <cell r="G79">
            <v>0</v>
          </cell>
          <cell r="H79">
            <v>10540</v>
          </cell>
          <cell r="I79">
            <v>10540</v>
          </cell>
          <cell r="J79">
            <v>400</v>
          </cell>
          <cell r="K79">
            <v>1178.4000000000001</v>
          </cell>
          <cell r="L79">
            <v>666.4</v>
          </cell>
          <cell r="M79">
            <v>0</v>
          </cell>
          <cell r="N79">
            <v>25.1</v>
          </cell>
          <cell r="R79">
            <v>12192.88</v>
          </cell>
          <cell r="S79">
            <v>1662.69</v>
          </cell>
          <cell r="T79">
            <v>400</v>
          </cell>
          <cell r="U79">
            <v>392.8</v>
          </cell>
          <cell r="W79">
            <v>0</v>
          </cell>
          <cell r="X79">
            <v>889.31</v>
          </cell>
          <cell r="Y79">
            <v>3803.6</v>
          </cell>
          <cell r="Z79">
            <v>-1010.5</v>
          </cell>
          <cell r="AA79">
            <v>7588</v>
          </cell>
          <cell r="AB79">
            <v>4</v>
          </cell>
          <cell r="AC79" t="str">
            <v>שגב  ארז</v>
          </cell>
          <cell r="AD79" t="str">
            <v>שרות</v>
          </cell>
          <cell r="AE79">
            <v>4</v>
          </cell>
          <cell r="AF79">
            <v>11</v>
          </cell>
          <cell r="AG79">
            <v>1652.88</v>
          </cell>
          <cell r="AH79">
            <v>2552</v>
          </cell>
          <cell r="AI79">
            <v>3615.76</v>
          </cell>
        </row>
        <row r="80">
          <cell r="A80" t="str">
            <v>אינישיה בע"מ</v>
          </cell>
          <cell r="B80">
            <v>2005</v>
          </cell>
          <cell r="C80">
            <v>11</v>
          </cell>
          <cell r="D80">
            <v>447</v>
          </cell>
          <cell r="E80" t="str">
            <v>מיצל  ויטלי</v>
          </cell>
          <cell r="F80" t="str">
            <v>אלקטרוניקה</v>
          </cell>
          <cell r="G80">
            <v>0</v>
          </cell>
          <cell r="H80">
            <v>18317</v>
          </cell>
          <cell r="I80">
            <v>18317</v>
          </cell>
          <cell r="J80">
            <v>720</v>
          </cell>
          <cell r="K80">
            <v>1178.4000000000001</v>
          </cell>
          <cell r="L80">
            <v>1199.52</v>
          </cell>
          <cell r="M80">
            <v>0</v>
          </cell>
          <cell r="N80">
            <v>22.92</v>
          </cell>
          <cell r="R80">
            <v>21264.74</v>
          </cell>
          <cell r="S80">
            <v>4393.4399999999996</v>
          </cell>
          <cell r="T80">
            <v>720</v>
          </cell>
          <cell r="U80">
            <v>392.8</v>
          </cell>
          <cell r="W80">
            <v>0</v>
          </cell>
          <cell r="X80">
            <v>1696.56</v>
          </cell>
          <cell r="Y80">
            <v>3803.6</v>
          </cell>
          <cell r="Z80">
            <v>-1671.02</v>
          </cell>
          <cell r="AA80">
            <v>11507</v>
          </cell>
          <cell r="AB80">
            <v>4</v>
          </cell>
          <cell r="AC80" t="str">
            <v>מיצל  ויטלי</v>
          </cell>
          <cell r="AD80" t="str">
            <v>אלקטרוניקה</v>
          </cell>
          <cell r="AE80">
            <v>4</v>
          </cell>
          <cell r="AF80">
            <v>11</v>
          </cell>
          <cell r="AG80">
            <v>2947.74</v>
          </cell>
          <cell r="AH80">
            <v>6090</v>
          </cell>
          <cell r="AI80">
            <v>4055.46</v>
          </cell>
        </row>
        <row r="81">
          <cell r="A81" t="str">
            <v>אינישיה בע"מ</v>
          </cell>
          <cell r="B81">
            <v>2005</v>
          </cell>
          <cell r="C81">
            <v>11</v>
          </cell>
          <cell r="D81">
            <v>448</v>
          </cell>
          <cell r="E81" t="str">
            <v>קופלר  אליאס</v>
          </cell>
          <cell r="F81" t="str">
            <v>יצור</v>
          </cell>
          <cell r="G81">
            <v>0</v>
          </cell>
          <cell r="H81">
            <v>8317</v>
          </cell>
          <cell r="I81">
            <v>8317</v>
          </cell>
          <cell r="J81">
            <v>320</v>
          </cell>
          <cell r="K81">
            <v>1178.4000000000001</v>
          </cell>
          <cell r="L81">
            <v>533.12</v>
          </cell>
          <cell r="M81">
            <v>131.84</v>
          </cell>
          <cell r="N81">
            <v>27.4</v>
          </cell>
          <cell r="R81">
            <v>9762.18</v>
          </cell>
          <cell r="S81">
            <v>890.44</v>
          </cell>
          <cell r="T81">
            <v>320</v>
          </cell>
          <cell r="U81">
            <v>392.8</v>
          </cell>
          <cell r="W81">
            <v>0</v>
          </cell>
          <cell r="X81">
            <v>658.56</v>
          </cell>
          <cell r="Y81">
            <v>4515.84</v>
          </cell>
          <cell r="Z81">
            <v>-2205.44</v>
          </cell>
          <cell r="AA81">
            <v>6448</v>
          </cell>
          <cell r="AB81">
            <v>4</v>
          </cell>
          <cell r="AC81" t="str">
            <v>קופלר  אליאס</v>
          </cell>
          <cell r="AD81" t="str">
            <v>יצור</v>
          </cell>
          <cell r="AE81">
            <v>4</v>
          </cell>
          <cell r="AF81">
            <v>11</v>
          </cell>
          <cell r="AG81">
            <v>1445.18</v>
          </cell>
          <cell r="AH81">
            <v>1549</v>
          </cell>
          <cell r="AI81">
            <v>3955.46</v>
          </cell>
        </row>
        <row r="82">
          <cell r="A82" t="str">
            <v>אינישיה בע"מ</v>
          </cell>
          <cell r="B82">
            <v>2005</v>
          </cell>
          <cell r="C82">
            <v>11</v>
          </cell>
          <cell r="D82">
            <v>449</v>
          </cell>
          <cell r="E82" t="str">
            <v>סוקולובר  דותן</v>
          </cell>
          <cell r="F82" t="str">
            <v>ע. פיתוח</v>
          </cell>
          <cell r="G82">
            <v>0</v>
          </cell>
          <cell r="H82">
            <v>3266.4</v>
          </cell>
          <cell r="I82">
            <v>3266.4</v>
          </cell>
          <cell r="J82">
            <v>1817.8</v>
          </cell>
          <cell r="K82">
            <v>1178.4000000000001</v>
          </cell>
          <cell r="L82">
            <v>3028.45</v>
          </cell>
          <cell r="M82">
            <v>192</v>
          </cell>
          <cell r="N82">
            <v>173.69</v>
          </cell>
          <cell r="R82">
            <v>3440.09</v>
          </cell>
          <cell r="S82">
            <v>15805.31</v>
          </cell>
          <cell r="T82">
            <v>1817.8</v>
          </cell>
          <cell r="U82">
            <v>392.8</v>
          </cell>
          <cell r="W82">
            <v>0</v>
          </cell>
          <cell r="X82">
            <v>147.4</v>
          </cell>
          <cell r="Y82">
            <v>3968.6</v>
          </cell>
          <cell r="Z82">
            <v>-1695.31</v>
          </cell>
          <cell r="AA82">
            <v>3119</v>
          </cell>
          <cell r="AB82">
            <v>4</v>
          </cell>
          <cell r="AC82" t="str">
            <v>סוקולובר  דותן</v>
          </cell>
          <cell r="AD82" t="str">
            <v>ע. פיתוח</v>
          </cell>
          <cell r="AE82">
            <v>4</v>
          </cell>
          <cell r="AF82">
            <v>11</v>
          </cell>
          <cell r="AG82">
            <v>173.69</v>
          </cell>
          <cell r="AH82">
            <v>147.4</v>
          </cell>
          <cell r="AI82">
            <v>250</v>
          </cell>
        </row>
        <row r="83">
          <cell r="A83" t="str">
            <v>אינישיה בע"מ</v>
          </cell>
          <cell r="B83">
            <v>2005</v>
          </cell>
          <cell r="C83">
            <v>11</v>
          </cell>
          <cell r="D83">
            <v>450</v>
          </cell>
          <cell r="E83" t="str">
            <v>מן  עידן</v>
          </cell>
          <cell r="F83" t="str">
            <v>תפעול</v>
          </cell>
          <cell r="G83">
            <v>0</v>
          </cell>
          <cell r="H83">
            <v>3661</v>
          </cell>
          <cell r="I83">
            <v>3661</v>
          </cell>
          <cell r="J83">
            <v>1817.8</v>
          </cell>
          <cell r="K83">
            <v>1178.4000000000001</v>
          </cell>
          <cell r="L83">
            <v>3028.45</v>
          </cell>
          <cell r="M83">
            <v>192</v>
          </cell>
          <cell r="N83">
            <v>196.03</v>
          </cell>
          <cell r="R83">
            <v>3857.03</v>
          </cell>
          <cell r="S83">
            <v>15446.14</v>
          </cell>
          <cell r="T83">
            <v>1817.8</v>
          </cell>
          <cell r="U83">
            <v>392.8</v>
          </cell>
          <cell r="W83">
            <v>0</v>
          </cell>
          <cell r="X83">
            <v>175</v>
          </cell>
          <cell r="Y83">
            <v>3968.6</v>
          </cell>
          <cell r="Z83">
            <v>-1186.23</v>
          </cell>
          <cell r="AA83">
            <v>3486</v>
          </cell>
          <cell r="AB83">
            <v>4</v>
          </cell>
          <cell r="AC83" t="str">
            <v>מן  עידן</v>
          </cell>
          <cell r="AD83" t="str">
            <v>תפעול</v>
          </cell>
          <cell r="AE83">
            <v>4</v>
          </cell>
          <cell r="AF83">
            <v>11</v>
          </cell>
          <cell r="AG83">
            <v>196.03</v>
          </cell>
          <cell r="AH83">
            <v>175</v>
          </cell>
          <cell r="AI83">
            <v>3936.26</v>
          </cell>
        </row>
        <row r="84">
          <cell r="A84" t="str">
            <v>אינישיה בע"מ</v>
          </cell>
          <cell r="B84">
            <v>2005</v>
          </cell>
          <cell r="C84">
            <v>11</v>
          </cell>
          <cell r="D84">
            <v>452</v>
          </cell>
          <cell r="E84" t="str">
            <v>שבורין  אילנה</v>
          </cell>
          <cell r="F84" t="str">
            <v>רגולציה</v>
          </cell>
          <cell r="G84">
            <v>0</v>
          </cell>
          <cell r="H84">
            <v>6317</v>
          </cell>
          <cell r="I84">
            <v>6317</v>
          </cell>
          <cell r="J84">
            <v>240</v>
          </cell>
          <cell r="K84">
            <v>1178.4000000000001</v>
          </cell>
          <cell r="L84">
            <v>399.84</v>
          </cell>
          <cell r="M84">
            <v>0</v>
          </cell>
          <cell r="N84">
            <v>25.66</v>
          </cell>
          <cell r="R84">
            <v>7303.46</v>
          </cell>
          <cell r="S84">
            <v>184.04</v>
          </cell>
          <cell r="T84">
            <v>240</v>
          </cell>
          <cell r="U84">
            <v>392.8</v>
          </cell>
          <cell r="W84">
            <v>0</v>
          </cell>
          <cell r="X84">
            <v>450.96</v>
          </cell>
          <cell r="Y84">
            <v>4620</v>
          </cell>
          <cell r="Z84">
            <v>-2084.3200000000002</v>
          </cell>
          <cell r="AA84">
            <v>5442</v>
          </cell>
          <cell r="AB84">
            <v>4</v>
          </cell>
          <cell r="AC84" t="str">
            <v>שבורין  אילנה</v>
          </cell>
          <cell r="AD84" t="str">
            <v>רגולציה</v>
          </cell>
          <cell r="AE84">
            <v>4</v>
          </cell>
          <cell r="AF84">
            <v>11</v>
          </cell>
          <cell r="AG84">
            <v>986.46</v>
          </cell>
          <cell r="AH84">
            <v>635</v>
          </cell>
          <cell r="AI84">
            <v>3975.76</v>
          </cell>
        </row>
        <row r="85">
          <cell r="A85" t="str">
            <v>אינישיה בע"מ</v>
          </cell>
          <cell r="B85">
            <v>2005</v>
          </cell>
          <cell r="C85">
            <v>11</v>
          </cell>
          <cell r="D85">
            <v>454</v>
          </cell>
          <cell r="E85" t="str">
            <v>סטודנט  יואב</v>
          </cell>
          <cell r="F85" t="str">
            <v>ע. פיתוח</v>
          </cell>
          <cell r="G85">
            <v>0</v>
          </cell>
          <cell r="H85">
            <v>2042</v>
          </cell>
          <cell r="I85">
            <v>2042</v>
          </cell>
          <cell r="J85">
            <v>799.68</v>
          </cell>
          <cell r="K85">
            <v>1178.4000000000001</v>
          </cell>
          <cell r="L85">
            <v>1332.27</v>
          </cell>
          <cell r="M85">
            <v>0</v>
          </cell>
          <cell r="N85">
            <v>108.73</v>
          </cell>
          <cell r="R85">
            <v>2150.73</v>
          </cell>
          <cell r="S85">
            <v>3536.72</v>
          </cell>
          <cell r="T85">
            <v>799.68</v>
          </cell>
          <cell r="U85">
            <v>392.8</v>
          </cell>
          <cell r="W85">
            <v>0</v>
          </cell>
          <cell r="X85">
            <v>92</v>
          </cell>
          <cell r="Y85">
            <v>1950</v>
          </cell>
          <cell r="Z85">
            <v>-1559.39</v>
          </cell>
          <cell r="AA85">
            <v>1950</v>
          </cell>
          <cell r="AB85">
            <v>4</v>
          </cell>
          <cell r="AC85" t="str">
            <v>סטודנט  יואב</v>
          </cell>
          <cell r="AD85" t="str">
            <v>ע. פיתוח</v>
          </cell>
          <cell r="AE85">
            <v>4</v>
          </cell>
          <cell r="AF85">
            <v>11</v>
          </cell>
          <cell r="AG85">
            <v>108.73</v>
          </cell>
          <cell r="AH85">
            <v>92</v>
          </cell>
          <cell r="AI85">
            <v>4002.09</v>
          </cell>
        </row>
        <row r="86">
          <cell r="A86" t="str">
            <v>אינישיה בע"מ</v>
          </cell>
          <cell r="B86">
            <v>2005</v>
          </cell>
          <cell r="C86">
            <v>11</v>
          </cell>
          <cell r="D86">
            <v>455</v>
          </cell>
          <cell r="E86" t="str">
            <v>ליפקין  יוליה</v>
          </cell>
          <cell r="F86" t="str">
            <v>אדמנסטרציה</v>
          </cell>
          <cell r="G86">
            <v>0</v>
          </cell>
          <cell r="H86">
            <v>4317</v>
          </cell>
          <cell r="I86">
            <v>4317</v>
          </cell>
          <cell r="J86">
            <v>797.9</v>
          </cell>
          <cell r="K86">
            <v>1178.4000000000001</v>
          </cell>
          <cell r="L86">
            <v>1329.29</v>
          </cell>
          <cell r="M86">
            <v>0</v>
          </cell>
          <cell r="N86">
            <v>241.07</v>
          </cell>
          <cell r="R86">
            <v>4558.07</v>
          </cell>
          <cell r="S86">
            <v>3524.51</v>
          </cell>
          <cell r="T86">
            <v>797.9</v>
          </cell>
          <cell r="U86">
            <v>392.8</v>
          </cell>
          <cell r="W86">
            <v>0</v>
          </cell>
          <cell r="X86">
            <v>257</v>
          </cell>
          <cell r="Y86">
            <v>4060</v>
          </cell>
          <cell r="Z86">
            <v>-1671.02</v>
          </cell>
          <cell r="AA86">
            <v>4060</v>
          </cell>
          <cell r="AB86">
            <v>4</v>
          </cell>
          <cell r="AC86" t="str">
            <v>ליפקין  יוליה</v>
          </cell>
          <cell r="AD86" t="str">
            <v>אדמנסטרציה</v>
          </cell>
          <cell r="AE86">
            <v>4</v>
          </cell>
          <cell r="AF86">
            <v>11</v>
          </cell>
          <cell r="AG86">
            <v>241.07</v>
          </cell>
          <cell r="AH86">
            <v>257</v>
          </cell>
          <cell r="AI86">
            <v>3940.71</v>
          </cell>
        </row>
        <row r="87">
          <cell r="A87" t="str">
            <v>אינישיה בע"מ</v>
          </cell>
          <cell r="B87">
            <v>2005</v>
          </cell>
          <cell r="C87">
            <v>11</v>
          </cell>
          <cell r="D87">
            <v>456</v>
          </cell>
          <cell r="E87" t="str">
            <v>רובינשטיין  קרינה</v>
          </cell>
          <cell r="F87" t="str">
            <v>שיווק</v>
          </cell>
          <cell r="G87">
            <v>0</v>
          </cell>
          <cell r="H87">
            <v>12317</v>
          </cell>
          <cell r="I87">
            <v>12317</v>
          </cell>
          <cell r="J87">
            <v>794.33</v>
          </cell>
          <cell r="K87">
            <v>1178.4000000000001</v>
          </cell>
          <cell r="L87">
            <v>1323.35</v>
          </cell>
          <cell r="M87">
            <v>0</v>
          </cell>
          <cell r="N87">
            <v>687.42</v>
          </cell>
          <cell r="R87">
            <v>13004.42</v>
          </cell>
          <cell r="S87">
            <v>5208.24</v>
          </cell>
          <cell r="T87">
            <v>794.33</v>
          </cell>
          <cell r="U87">
            <v>392.8</v>
          </cell>
          <cell r="W87">
            <v>0</v>
          </cell>
          <cell r="X87">
            <v>1073.76</v>
          </cell>
          <cell r="Y87">
            <v>6035</v>
          </cell>
          <cell r="Z87">
            <v>-1546.52</v>
          </cell>
          <cell r="AA87">
            <v>6035</v>
          </cell>
          <cell r="AB87">
            <v>4</v>
          </cell>
          <cell r="AC87" t="str">
            <v>רובינשטיין  קרינה</v>
          </cell>
          <cell r="AD87" t="str">
            <v>שיווק</v>
          </cell>
          <cell r="AE87">
            <v>4</v>
          </cell>
          <cell r="AF87">
            <v>11</v>
          </cell>
          <cell r="AG87">
            <v>687.42</v>
          </cell>
          <cell r="AH87">
            <v>6282</v>
          </cell>
          <cell r="AI87">
            <v>4380.71</v>
          </cell>
        </row>
        <row r="88">
          <cell r="A88" t="str">
            <v>אינישיה בע"מ</v>
          </cell>
          <cell r="B88">
            <v>2005</v>
          </cell>
          <cell r="C88">
            <v>11</v>
          </cell>
          <cell r="D88">
            <v>457</v>
          </cell>
          <cell r="E88" t="str">
            <v>מלול  סיון</v>
          </cell>
          <cell r="F88" t="str">
            <v>ע. פיתוח</v>
          </cell>
          <cell r="G88">
            <v>0</v>
          </cell>
          <cell r="H88">
            <v>1527.6</v>
          </cell>
          <cell r="I88">
            <v>1527.6</v>
          </cell>
          <cell r="J88">
            <v>792.54</v>
          </cell>
          <cell r="K88">
            <v>1178.4000000000001</v>
          </cell>
          <cell r="L88">
            <v>1320.37</v>
          </cell>
          <cell r="M88">
            <v>0</v>
          </cell>
          <cell r="N88">
            <v>81.569999999999993</v>
          </cell>
          <cell r="R88">
            <v>1609.17</v>
          </cell>
          <cell r="S88">
            <v>3659.67</v>
          </cell>
          <cell r="T88">
            <v>792.54</v>
          </cell>
          <cell r="U88">
            <v>392.8</v>
          </cell>
          <cell r="W88">
            <v>0</v>
          </cell>
          <cell r="X88">
            <v>68.599999999999994</v>
          </cell>
          <cell r="Y88">
            <v>1459</v>
          </cell>
          <cell r="Z88">
            <v>-1141.7</v>
          </cell>
          <cell r="AA88">
            <v>1459</v>
          </cell>
          <cell r="AB88">
            <v>4</v>
          </cell>
          <cell r="AC88" t="str">
            <v>מלול  סיון</v>
          </cell>
          <cell r="AD88" t="str">
            <v>ע. פיתוח</v>
          </cell>
          <cell r="AE88">
            <v>4</v>
          </cell>
          <cell r="AF88">
            <v>11</v>
          </cell>
          <cell r="AG88">
            <v>81.569999999999993</v>
          </cell>
          <cell r="AH88">
            <v>68.599999999999994</v>
          </cell>
          <cell r="AI88">
            <v>250</v>
          </cell>
        </row>
        <row r="89">
          <cell r="A89" t="str">
            <v>אינישיה בע"מ</v>
          </cell>
          <cell r="B89">
            <v>2005</v>
          </cell>
          <cell r="C89">
            <v>11</v>
          </cell>
          <cell r="D89">
            <v>458</v>
          </cell>
          <cell r="E89" t="str">
            <v>פרנק  אמיר</v>
          </cell>
          <cell r="F89" t="str">
            <v>רגולציה</v>
          </cell>
          <cell r="G89">
            <v>0</v>
          </cell>
          <cell r="H89">
            <v>6717</v>
          </cell>
          <cell r="I89">
            <v>6717</v>
          </cell>
          <cell r="J89">
            <v>801.64</v>
          </cell>
          <cell r="K89">
            <v>1178.4000000000001</v>
          </cell>
          <cell r="L89">
            <v>1335.52</v>
          </cell>
          <cell r="M89">
            <v>0</v>
          </cell>
          <cell r="N89">
            <v>369.82</v>
          </cell>
          <cell r="R89">
            <v>7086.82</v>
          </cell>
          <cell r="S89">
            <v>3668.9</v>
          </cell>
          <cell r="T89">
            <v>801.64</v>
          </cell>
          <cell r="U89">
            <v>392.8</v>
          </cell>
          <cell r="W89">
            <v>0</v>
          </cell>
          <cell r="X89">
            <v>492</v>
          </cell>
          <cell r="Y89">
            <v>6225</v>
          </cell>
          <cell r="Z89">
            <v>-1288.0899999999999</v>
          </cell>
          <cell r="AA89">
            <v>6225</v>
          </cell>
          <cell r="AB89">
            <v>4</v>
          </cell>
          <cell r="AC89" t="str">
            <v>פרנק  אמיר</v>
          </cell>
          <cell r="AD89" t="str">
            <v>רגולציה</v>
          </cell>
          <cell r="AE89">
            <v>4</v>
          </cell>
          <cell r="AF89">
            <v>11</v>
          </cell>
          <cell r="AG89">
            <v>369.82</v>
          </cell>
          <cell r="AH89">
            <v>492</v>
          </cell>
          <cell r="AI89">
            <v>3985</v>
          </cell>
        </row>
        <row r="90">
          <cell r="A90" t="str">
            <v>אינישיה בע"מ</v>
          </cell>
          <cell r="B90">
            <v>2005</v>
          </cell>
          <cell r="C90">
            <v>11</v>
          </cell>
          <cell r="D90">
            <v>459</v>
          </cell>
          <cell r="E90" t="str">
            <v>ניר  רותי</v>
          </cell>
          <cell r="F90" t="str">
            <v>אדמנסטרציה</v>
          </cell>
          <cell r="G90">
            <v>0</v>
          </cell>
          <cell r="H90">
            <v>4317</v>
          </cell>
          <cell r="I90">
            <v>4317</v>
          </cell>
          <cell r="J90">
            <v>785.6</v>
          </cell>
          <cell r="K90">
            <v>1178.4000000000001</v>
          </cell>
          <cell r="L90">
            <v>1308.81</v>
          </cell>
          <cell r="M90">
            <v>0</v>
          </cell>
          <cell r="N90">
            <v>233.38</v>
          </cell>
          <cell r="R90">
            <v>4550.38</v>
          </cell>
          <cell r="S90">
            <v>3549.53</v>
          </cell>
          <cell r="T90">
            <v>785.6</v>
          </cell>
          <cell r="U90">
            <v>392.8</v>
          </cell>
          <cell r="W90">
            <v>0</v>
          </cell>
          <cell r="X90">
            <v>243</v>
          </cell>
          <cell r="Y90">
            <v>4074</v>
          </cell>
          <cell r="Z90">
            <v>-1916.79</v>
          </cell>
          <cell r="AA90">
            <v>4074</v>
          </cell>
          <cell r="AB90">
            <v>4</v>
          </cell>
          <cell r="AC90" t="str">
            <v>ניר  רותי</v>
          </cell>
          <cell r="AD90" t="str">
            <v>אדמנסטרציה</v>
          </cell>
          <cell r="AE90">
            <v>4</v>
          </cell>
          <cell r="AF90">
            <v>11</v>
          </cell>
          <cell r="AG90">
            <v>233.38</v>
          </cell>
          <cell r="AH90">
            <v>243</v>
          </cell>
          <cell r="AI90">
            <v>3878.15</v>
          </cell>
        </row>
        <row r="91">
          <cell r="A91" t="str">
            <v>אינישיה בע"מ</v>
          </cell>
          <cell r="B91">
            <v>2005</v>
          </cell>
          <cell r="C91">
            <v>11</v>
          </cell>
          <cell r="D91">
            <v>460</v>
          </cell>
          <cell r="E91" t="str">
            <v>וייסמן  גבריאל</v>
          </cell>
          <cell r="F91" t="str">
            <v>הנדסה</v>
          </cell>
          <cell r="G91">
            <v>0</v>
          </cell>
          <cell r="H91">
            <v>23340</v>
          </cell>
          <cell r="I91">
            <v>22050</v>
          </cell>
          <cell r="J91">
            <v>785.6</v>
          </cell>
          <cell r="K91">
            <v>1178.4000000000001</v>
          </cell>
          <cell r="L91">
            <v>1308.81</v>
          </cell>
          <cell r="M91">
            <v>0</v>
          </cell>
          <cell r="N91">
            <v>1313.52</v>
          </cell>
          <cell r="R91">
            <v>23363.52</v>
          </cell>
          <cell r="S91">
            <v>6537.05</v>
          </cell>
          <cell r="T91">
            <v>785.6</v>
          </cell>
          <cell r="U91">
            <v>392.8</v>
          </cell>
          <cell r="W91">
            <v>0</v>
          </cell>
          <cell r="X91">
            <v>2217.9499999999998</v>
          </cell>
          <cell r="Y91">
            <v>13295</v>
          </cell>
          <cell r="Z91">
            <v>-956.35</v>
          </cell>
          <cell r="AA91">
            <v>14251.35</v>
          </cell>
          <cell r="AB91">
            <v>4</v>
          </cell>
          <cell r="AC91" t="str">
            <v>וייסמן  גבריאל</v>
          </cell>
          <cell r="AD91" t="str">
            <v>הנדסה</v>
          </cell>
          <cell r="AE91">
            <v>4</v>
          </cell>
          <cell r="AF91">
            <v>11</v>
          </cell>
          <cell r="AG91">
            <v>1313.52</v>
          </cell>
          <cell r="AH91">
            <v>8755</v>
          </cell>
          <cell r="AI91">
            <v>1290</v>
          </cell>
        </row>
        <row r="92">
          <cell r="A92" t="str">
            <v>אינישיה בע"מ</v>
          </cell>
          <cell r="B92">
            <v>2005</v>
          </cell>
          <cell r="C92">
            <v>11</v>
          </cell>
          <cell r="D92">
            <v>461</v>
          </cell>
          <cell r="E92" t="str">
            <v>הוטא  רועי</v>
          </cell>
          <cell r="F92" t="str">
            <v>ע. פיתוח</v>
          </cell>
          <cell r="G92">
            <v>0</v>
          </cell>
          <cell r="H92">
            <v>2532.1999999999998</v>
          </cell>
          <cell r="I92">
            <v>2532.1999999999998</v>
          </cell>
          <cell r="J92">
            <v>785.6</v>
          </cell>
          <cell r="K92">
            <v>1178.4000000000001</v>
          </cell>
          <cell r="L92">
            <v>1308.81</v>
          </cell>
          <cell r="M92">
            <v>0</v>
          </cell>
          <cell r="N92">
            <v>134.72</v>
          </cell>
          <cell r="R92">
            <v>2666.92</v>
          </cell>
          <cell r="S92">
            <v>4345.46</v>
          </cell>
          <cell r="T92">
            <v>785.6</v>
          </cell>
          <cell r="U92">
            <v>392.8</v>
          </cell>
          <cell r="W92">
            <v>0</v>
          </cell>
          <cell r="X92">
            <v>114.2</v>
          </cell>
          <cell r="Y92">
            <v>2418</v>
          </cell>
          <cell r="Z92">
            <v>-6572.1</v>
          </cell>
          <cell r="AA92">
            <v>2418</v>
          </cell>
          <cell r="AB92">
            <v>4</v>
          </cell>
          <cell r="AC92" t="str">
            <v>הוטא  רועי</v>
          </cell>
          <cell r="AD92" t="str">
            <v>ע. פיתוח</v>
          </cell>
          <cell r="AE92">
            <v>4</v>
          </cell>
          <cell r="AF92">
            <v>11</v>
          </cell>
          <cell r="AG92">
            <v>134.72</v>
          </cell>
          <cell r="AH92">
            <v>114.2</v>
          </cell>
          <cell r="AI92">
            <v>706.6</v>
          </cell>
        </row>
        <row r="93">
          <cell r="A93" t="str">
            <v>אינישיה בע"מ</v>
          </cell>
          <cell r="B93">
            <v>2005</v>
          </cell>
          <cell r="C93">
            <v>11</v>
          </cell>
          <cell r="D93">
            <v>462</v>
          </cell>
          <cell r="E93" t="str">
            <v>חוזה  דנה</v>
          </cell>
          <cell r="F93" t="str">
            <v>אדמנסטרציה</v>
          </cell>
          <cell r="G93">
            <v>0</v>
          </cell>
          <cell r="H93">
            <v>1211.31</v>
          </cell>
          <cell r="I93">
            <v>1211.31</v>
          </cell>
          <cell r="J93">
            <v>785.6</v>
          </cell>
          <cell r="K93">
            <v>1178.4000000000001</v>
          </cell>
          <cell r="L93">
            <v>1308.81</v>
          </cell>
          <cell r="M93">
            <v>0</v>
          </cell>
          <cell r="N93">
            <v>96</v>
          </cell>
          <cell r="R93">
            <v>1307.31</v>
          </cell>
          <cell r="S93">
            <v>3725.32</v>
          </cell>
          <cell r="T93">
            <v>785.6</v>
          </cell>
          <cell r="U93">
            <v>392.8</v>
          </cell>
          <cell r="W93">
            <v>0</v>
          </cell>
          <cell r="X93">
            <v>81.31</v>
          </cell>
          <cell r="Y93">
            <v>1130</v>
          </cell>
          <cell r="Z93">
            <v>-828</v>
          </cell>
          <cell r="AA93">
            <v>1130</v>
          </cell>
          <cell r="AB93">
            <v>4</v>
          </cell>
          <cell r="AC93" t="str">
            <v>חוזה  דנה</v>
          </cell>
          <cell r="AD93" t="str">
            <v>אדמנסטרציה</v>
          </cell>
          <cell r="AE93">
            <v>4</v>
          </cell>
          <cell r="AF93">
            <v>11</v>
          </cell>
          <cell r="AG93">
            <v>96</v>
          </cell>
          <cell r="AH93">
            <v>81.31</v>
          </cell>
          <cell r="AI93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Highlights"/>
      <sheetName val="Sales 12.11"/>
      <sheetName val="Sales 2012 New Pricing"/>
      <sheetName val="Cons. by Q"/>
      <sheetName val="Cons. Budget"/>
      <sheetName val="IL Budget"/>
      <sheetName val="LFS Budget"/>
      <sheetName val="CY Budget"/>
      <sheetName val="Link. Budget"/>
      <sheetName val="CashFlow"/>
      <sheetName val="Expenses IL"/>
      <sheetName val="Expenses-Sub."/>
      <sheetName val="Affiliate-Marketing  Plan-Juan"/>
      <sheetName val="Parameters"/>
      <sheetName val="Overhead CY"/>
      <sheetName val="Overhead IL"/>
      <sheetName val="העמסת תקורות"/>
      <sheetName val="HR2012"/>
      <sheetName val="תקציב משאבי אנוש "/>
      <sheetName val="ציוד"/>
      <sheetName val="Detailed Sales 2012old"/>
      <sheetName val="LVRT CY-Eyal"/>
      <sheetName val="CIF-Eyal"/>
      <sheetName val="IL-Marketing Plan"/>
      <sheetName val="Detailed Sales 2011"/>
      <sheetName val="Detailed Sales 2013"/>
      <sheetName val="HR2011"/>
      <sheetName val="HR2013"/>
    </sheetNames>
    <sheetDataSet>
      <sheetData sheetId="0" refreshError="1"/>
      <sheetData sheetId="1" refreshError="1"/>
      <sheetData sheetId="2" refreshError="1">
        <row r="5">
          <cell r="AU5">
            <v>0</v>
          </cell>
        </row>
        <row r="6">
          <cell r="AS6">
            <v>272.49129999999997</v>
          </cell>
          <cell r="AT6">
            <v>1907.4390999999998</v>
          </cell>
          <cell r="AU6">
            <v>1907.4390999999996</v>
          </cell>
        </row>
        <row r="7">
          <cell r="AS7">
            <v>0</v>
          </cell>
          <cell r="AT7">
            <v>0</v>
          </cell>
          <cell r="AU7">
            <v>0</v>
          </cell>
        </row>
        <row r="8">
          <cell r="AS8">
            <v>0</v>
          </cell>
          <cell r="AT8">
            <v>0</v>
          </cell>
          <cell r="AU8">
            <v>0</v>
          </cell>
        </row>
        <row r="9">
          <cell r="AS9">
            <v>0</v>
          </cell>
          <cell r="AT9">
            <v>0</v>
          </cell>
          <cell r="AU9">
            <v>0</v>
          </cell>
        </row>
        <row r="10">
          <cell r="AU10">
            <v>0</v>
          </cell>
        </row>
        <row r="11">
          <cell r="AS11">
            <v>3838</v>
          </cell>
          <cell r="AT11">
            <v>17514</v>
          </cell>
          <cell r="AU11">
            <v>17514</v>
          </cell>
        </row>
        <row r="12">
          <cell r="AS12">
            <v>3741.8373839999999</v>
          </cell>
          <cell r="AT12">
            <v>18781.349920000001</v>
          </cell>
          <cell r="AU12">
            <v>22781.349920000001</v>
          </cell>
        </row>
        <row r="13">
          <cell r="AS13">
            <v>0</v>
          </cell>
          <cell r="AT13">
            <v>0</v>
          </cell>
          <cell r="AU13">
            <v>25040.720000000001</v>
          </cell>
        </row>
        <row r="14">
          <cell r="AS14">
            <v>0</v>
          </cell>
          <cell r="AT14">
            <v>0</v>
          </cell>
          <cell r="AU14">
            <v>0</v>
          </cell>
        </row>
        <row r="15">
          <cell r="AS15">
            <v>480.39940000000007</v>
          </cell>
          <cell r="AT15">
            <v>7000</v>
          </cell>
          <cell r="AU15">
            <v>10000</v>
          </cell>
        </row>
        <row r="16">
          <cell r="AS16">
            <v>0</v>
          </cell>
          <cell r="AT16">
            <v>0</v>
          </cell>
          <cell r="AU16">
            <v>0</v>
          </cell>
        </row>
        <row r="17">
          <cell r="AS17">
            <v>0</v>
          </cell>
          <cell r="AT17">
            <v>0</v>
          </cell>
          <cell r="AU17">
            <v>0</v>
          </cell>
        </row>
        <row r="18">
          <cell r="AU18">
            <v>0</v>
          </cell>
        </row>
        <row r="19">
          <cell r="AS19">
            <v>274.40409999999997</v>
          </cell>
          <cell r="AT19">
            <v>3292.8491999999997</v>
          </cell>
          <cell r="AU19">
            <v>8717.8492000000006</v>
          </cell>
        </row>
        <row r="20">
          <cell r="AS20">
            <v>370.54979300000002</v>
          </cell>
          <cell r="AT20">
            <v>4997.67</v>
          </cell>
          <cell r="AU20">
            <v>8000</v>
          </cell>
        </row>
        <row r="21">
          <cell r="AS21">
            <v>598.62559999999996</v>
          </cell>
          <cell r="AT21">
            <v>7183.5072</v>
          </cell>
          <cell r="AU21">
            <v>18436.4172</v>
          </cell>
        </row>
        <row r="22">
          <cell r="AS22">
            <v>181.30419999999998</v>
          </cell>
          <cell r="AT22">
            <v>2927.26</v>
          </cell>
          <cell r="AU22">
            <v>7000</v>
          </cell>
        </row>
        <row r="23">
          <cell r="AS23">
            <v>0</v>
          </cell>
          <cell r="AT23">
            <v>9000</v>
          </cell>
          <cell r="AU23">
            <v>11000</v>
          </cell>
        </row>
        <row r="24">
          <cell r="AS24">
            <v>0</v>
          </cell>
          <cell r="AT24">
            <v>0</v>
          </cell>
          <cell r="AU24">
            <v>0</v>
          </cell>
        </row>
        <row r="25">
          <cell r="AU25">
            <v>0</v>
          </cell>
        </row>
        <row r="26">
          <cell r="AS26">
            <v>44.668990000000001</v>
          </cell>
          <cell r="AT26">
            <v>670.03485000000001</v>
          </cell>
          <cell r="AU26">
            <v>10543.77485</v>
          </cell>
        </row>
        <row r="27">
          <cell r="AS27">
            <v>8.094199999999999</v>
          </cell>
          <cell r="AT27">
            <v>3000</v>
          </cell>
          <cell r="AU27">
            <v>3750</v>
          </cell>
        </row>
        <row r="28">
          <cell r="AS28">
            <v>24.263500000000004</v>
          </cell>
          <cell r="AT28">
            <v>169.84450000000004</v>
          </cell>
          <cell r="AU28">
            <v>14169.844499999999</v>
          </cell>
        </row>
        <row r="29">
          <cell r="AS29">
            <v>0</v>
          </cell>
          <cell r="AT29">
            <v>0</v>
          </cell>
          <cell r="AU29">
            <v>0</v>
          </cell>
        </row>
        <row r="30">
          <cell r="AS30">
            <v>4833.6859230000009</v>
          </cell>
          <cell r="AT30">
            <v>43835.801461000003</v>
          </cell>
          <cell r="AU30">
            <v>47335.801461000003</v>
          </cell>
        </row>
        <row r="31">
          <cell r="AS31">
            <v>38.328300000000006</v>
          </cell>
          <cell r="AT31">
            <v>5000</v>
          </cell>
          <cell r="AU31">
            <v>9500</v>
          </cell>
        </row>
        <row r="32">
          <cell r="AS32">
            <v>0</v>
          </cell>
          <cell r="AT32">
            <v>0</v>
          </cell>
          <cell r="AU32">
            <v>0</v>
          </cell>
        </row>
        <row r="33">
          <cell r="AS33">
            <v>333.16494499999999</v>
          </cell>
          <cell r="AT33">
            <v>5000</v>
          </cell>
          <cell r="AU33">
            <v>8500</v>
          </cell>
        </row>
        <row r="34">
          <cell r="AS34">
            <v>193.20520000000002</v>
          </cell>
          <cell r="AT34">
            <v>2701.23</v>
          </cell>
          <cell r="AU34">
            <v>9000</v>
          </cell>
        </row>
        <row r="35">
          <cell r="AS35">
            <v>0</v>
          </cell>
          <cell r="AT35">
            <v>0</v>
          </cell>
          <cell r="AU35">
            <v>3000</v>
          </cell>
        </row>
        <row r="36">
          <cell r="AS36">
            <v>458.91769999999997</v>
          </cell>
          <cell r="AT36">
            <v>5507.0123999999996</v>
          </cell>
          <cell r="AU36">
            <v>9507.0123999999996</v>
          </cell>
        </row>
        <row r="37">
          <cell r="AS37">
            <v>724.3531999999999</v>
          </cell>
          <cell r="AT37">
            <v>8692.2383999999984</v>
          </cell>
          <cell r="AU37">
            <v>11942.238399999998</v>
          </cell>
        </row>
        <row r="38">
          <cell r="AS38">
            <v>0</v>
          </cell>
          <cell r="AT38">
            <v>0</v>
          </cell>
          <cell r="AU38">
            <v>0</v>
          </cell>
        </row>
        <row r="39">
          <cell r="AS39">
            <v>0</v>
          </cell>
          <cell r="AT39">
            <v>0</v>
          </cell>
          <cell r="AU39">
            <v>0</v>
          </cell>
        </row>
        <row r="40">
          <cell r="AS40">
            <v>0</v>
          </cell>
          <cell r="AT40">
            <v>0</v>
          </cell>
          <cell r="AU40">
            <v>0</v>
          </cell>
        </row>
        <row r="41">
          <cell r="AS41">
            <v>0.82599999999999996</v>
          </cell>
          <cell r="AT41">
            <v>2326.4299999999998</v>
          </cell>
          <cell r="AU41">
            <v>8500</v>
          </cell>
        </row>
        <row r="42">
          <cell r="AS42">
            <v>692.72510000000011</v>
          </cell>
          <cell r="AT42">
            <v>8312.7012000000013</v>
          </cell>
          <cell r="AU42">
            <v>13234.931200000001</v>
          </cell>
        </row>
        <row r="43">
          <cell r="AS43">
            <v>20.463000000000001</v>
          </cell>
          <cell r="AT43">
            <v>306.94499999999999</v>
          </cell>
          <cell r="AU43">
            <v>4307.585</v>
          </cell>
        </row>
        <row r="44">
          <cell r="AS44">
            <v>2.3300000000000001E-2</v>
          </cell>
          <cell r="AT44">
            <v>0.3029</v>
          </cell>
          <cell r="AU44">
            <v>4250.3828999999996</v>
          </cell>
        </row>
        <row r="45">
          <cell r="AS45">
            <v>0</v>
          </cell>
          <cell r="AT45">
            <v>0</v>
          </cell>
          <cell r="AU45">
            <v>3000</v>
          </cell>
        </row>
        <row r="46">
          <cell r="AS46">
            <v>0</v>
          </cell>
          <cell r="AT46">
            <v>0</v>
          </cell>
          <cell r="AU46">
            <v>0</v>
          </cell>
        </row>
        <row r="47">
          <cell r="AS47">
            <v>441.74596347999994</v>
          </cell>
          <cell r="AT47">
            <v>6626.1894521999993</v>
          </cell>
          <cell r="AU47">
            <v>13900.309452199999</v>
          </cell>
        </row>
        <row r="48">
          <cell r="AS48">
            <v>7.5678000000000001</v>
          </cell>
          <cell r="AT48">
            <v>113.517</v>
          </cell>
          <cell r="AU48">
            <v>5113.5169999999998</v>
          </cell>
        </row>
        <row r="49">
          <cell r="AS49">
            <v>0</v>
          </cell>
          <cell r="AT49">
            <v>0</v>
          </cell>
          <cell r="AU49">
            <v>0</v>
          </cell>
        </row>
        <row r="50">
          <cell r="AS50">
            <v>3003.3350190000001</v>
          </cell>
          <cell r="AT50">
            <v>33033.350190000005</v>
          </cell>
          <cell r="AU50">
            <v>37533.350190000005</v>
          </cell>
        </row>
        <row r="51">
          <cell r="AS51">
            <v>185.76993047000002</v>
          </cell>
          <cell r="AT51">
            <v>2833.3212570500004</v>
          </cell>
          <cell r="AU51">
            <v>5833.32125705</v>
          </cell>
        </row>
        <row r="52">
          <cell r="AS52">
            <v>0</v>
          </cell>
          <cell r="AT52">
            <v>0</v>
          </cell>
          <cell r="AU52">
            <v>0</v>
          </cell>
        </row>
        <row r="53">
          <cell r="AS53">
            <v>0</v>
          </cell>
          <cell r="AT53">
            <v>0</v>
          </cell>
          <cell r="AU53">
            <v>0</v>
          </cell>
        </row>
        <row r="54">
          <cell r="AS54">
            <v>5.8700000000000002E-2</v>
          </cell>
          <cell r="AT54">
            <v>0.88050000000000006</v>
          </cell>
          <cell r="AU54">
            <v>4250.8805000000002</v>
          </cell>
        </row>
        <row r="55">
          <cell r="AS55">
            <v>0</v>
          </cell>
          <cell r="AT55">
            <v>0</v>
          </cell>
          <cell r="AU55">
            <v>3500</v>
          </cell>
        </row>
        <row r="56">
          <cell r="AS56">
            <v>0</v>
          </cell>
          <cell r="AT56">
            <v>0</v>
          </cell>
          <cell r="AU56">
            <v>0</v>
          </cell>
        </row>
        <row r="57">
          <cell r="AS57">
            <v>0</v>
          </cell>
          <cell r="AT57">
            <v>0</v>
          </cell>
          <cell r="AU57">
            <v>3500</v>
          </cell>
        </row>
        <row r="58">
          <cell r="AS58">
            <v>0</v>
          </cell>
          <cell r="AT58">
            <v>0</v>
          </cell>
          <cell r="AU58">
            <v>4000</v>
          </cell>
        </row>
        <row r="59">
          <cell r="AS59">
            <v>0</v>
          </cell>
          <cell r="AT59">
            <v>0</v>
          </cell>
          <cell r="AU59">
            <v>0</v>
          </cell>
        </row>
        <row r="60">
          <cell r="AS60">
            <v>0</v>
          </cell>
          <cell r="AT60">
            <v>0</v>
          </cell>
          <cell r="AU60">
            <v>0</v>
          </cell>
        </row>
        <row r="61">
          <cell r="AS61">
            <v>0</v>
          </cell>
          <cell r="AT61">
            <v>0</v>
          </cell>
          <cell r="AU61">
            <v>0</v>
          </cell>
        </row>
        <row r="62">
          <cell r="AS62">
            <v>0</v>
          </cell>
          <cell r="AT62">
            <v>0</v>
          </cell>
          <cell r="AU62">
            <v>0</v>
          </cell>
        </row>
        <row r="63">
          <cell r="AS63">
            <v>0</v>
          </cell>
          <cell r="AT63">
            <v>0</v>
          </cell>
          <cell r="AU63">
            <v>0</v>
          </cell>
        </row>
        <row r="64">
          <cell r="AS64">
            <v>0</v>
          </cell>
          <cell r="AT64">
            <v>0</v>
          </cell>
          <cell r="AU64">
            <v>0</v>
          </cell>
        </row>
        <row r="65">
          <cell r="AS65">
            <v>0</v>
          </cell>
          <cell r="AT65">
            <v>0</v>
          </cell>
          <cell r="AU65">
            <v>0</v>
          </cell>
        </row>
        <row r="66">
          <cell r="AS66">
            <v>0</v>
          </cell>
          <cell r="AT66">
            <v>0</v>
          </cell>
          <cell r="AU66">
            <v>0</v>
          </cell>
        </row>
        <row r="67">
          <cell r="AT67">
            <v>0</v>
          </cell>
          <cell r="AU67">
            <v>0</v>
          </cell>
        </row>
        <row r="68">
          <cell r="AU68">
            <v>1859</v>
          </cell>
        </row>
        <row r="69">
          <cell r="AT69">
            <v>0</v>
          </cell>
          <cell r="AU69">
            <v>0</v>
          </cell>
        </row>
        <row r="70">
          <cell r="AS70">
            <v>250</v>
          </cell>
          <cell r="AT70">
            <v>3256.0866000000005</v>
          </cell>
          <cell r="AU70">
            <v>7328.606600000001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Convert"/>
      <sheetName val="FEED"/>
      <sheetName val="TotalsNew"/>
      <sheetName val="DataVirtualDetaild"/>
      <sheetName val="CustomerReport"/>
      <sheetName val="Virtual"/>
      <sheetName val="VirtualTotals"/>
      <sheetName val="MinimumPrices"/>
      <sheetName val="MinimumPricesUniqe"/>
      <sheetName val="MamPriceList"/>
      <sheetName val="MamDataTotals"/>
      <sheetName val="DataVirtualTotals"/>
      <sheetName val="DataActual"/>
      <sheetName val="DataActualTotals"/>
      <sheetName val="DataVirtualOld"/>
    </sheetNames>
    <sheetDataSet>
      <sheetData sheetId="0">
        <row r="1">
          <cell r="D1" t="str">
            <v>מס. לקוח</v>
          </cell>
          <cell r="E1">
            <v>0</v>
          </cell>
          <cell r="F1" t="str">
            <v>שם לועזי</v>
          </cell>
        </row>
        <row r="2">
          <cell r="D2" t="str">
            <v>30008</v>
          </cell>
          <cell r="E2">
            <v>30008</v>
          </cell>
          <cell r="F2" t="str">
            <v>4Excellent Ltd.</v>
          </cell>
        </row>
        <row r="3">
          <cell r="D3" t="str">
            <v>35084</v>
          </cell>
          <cell r="E3">
            <v>35084</v>
          </cell>
          <cell r="F3" t="str">
            <v>Accenture Global Investments Pte Ltd (Malkar)</v>
          </cell>
        </row>
        <row r="4">
          <cell r="D4" t="str">
            <v>35048</v>
          </cell>
          <cell r="E4">
            <v>35048</v>
          </cell>
          <cell r="F4" t="str">
            <v>Afix Group Limited</v>
          </cell>
        </row>
        <row r="5">
          <cell r="D5" t="str">
            <v>35042</v>
          </cell>
          <cell r="E5">
            <v>35042</v>
          </cell>
          <cell r="F5" t="str">
            <v>Afrique Group</v>
          </cell>
        </row>
        <row r="6">
          <cell r="D6" t="str">
            <v>35102</v>
          </cell>
          <cell r="E6">
            <v>35102</v>
          </cell>
          <cell r="F6" t="str">
            <v>Aston Invest LTD</v>
          </cell>
        </row>
        <row r="7">
          <cell r="D7" t="str">
            <v>35102</v>
          </cell>
          <cell r="E7">
            <v>35102</v>
          </cell>
          <cell r="F7" t="str">
            <v>Aston Invest LTD</v>
          </cell>
        </row>
        <row r="8">
          <cell r="D8" t="str">
            <v>30004</v>
          </cell>
          <cell r="E8">
            <v>30004</v>
          </cell>
          <cell r="F8" t="str">
            <v>Ava Forex Ltd.</v>
          </cell>
        </row>
        <row r="9">
          <cell r="D9" t="str">
            <v>35105</v>
          </cell>
          <cell r="E9">
            <v>35105</v>
          </cell>
          <cell r="F9" t="str">
            <v>Green Nostro</v>
          </cell>
        </row>
        <row r="10">
          <cell r="D10" t="str">
            <v>35105</v>
          </cell>
          <cell r="E10">
            <v>35105</v>
          </cell>
          <cell r="F10" t="str">
            <v>Green Nostro</v>
          </cell>
        </row>
        <row r="11">
          <cell r="D11" t="str">
            <v>35080</v>
          </cell>
          <cell r="E11">
            <v>35080</v>
          </cell>
          <cell r="F11" t="str">
            <v>B.M. Trading LTD</v>
          </cell>
        </row>
        <row r="12">
          <cell r="D12" t="str">
            <v>35078</v>
          </cell>
          <cell r="E12">
            <v>35078</v>
          </cell>
          <cell r="F12" t="str">
            <v>Bloombex Ltd.</v>
          </cell>
        </row>
        <row r="13">
          <cell r="D13" t="str">
            <v>35045</v>
          </cell>
          <cell r="E13">
            <v>35045</v>
          </cell>
          <cell r="F13" t="str">
            <v>Boston Merchant Management</v>
          </cell>
        </row>
        <row r="14">
          <cell r="D14" t="str">
            <v>35086</v>
          </cell>
          <cell r="E14">
            <v>35086</v>
          </cell>
          <cell r="F14" t="str">
            <v>BROKERSCLUB AG</v>
          </cell>
        </row>
        <row r="15">
          <cell r="D15" t="str">
            <v>35086</v>
          </cell>
          <cell r="E15">
            <v>35086</v>
          </cell>
          <cell r="F15" t="str">
            <v>BROKERSCLUB AG</v>
          </cell>
        </row>
        <row r="16">
          <cell r="D16" t="str">
            <v>35037</v>
          </cell>
          <cell r="E16">
            <v>35037</v>
          </cell>
          <cell r="F16" t="str">
            <v>Caya Capital Markets NZ Ltd.</v>
          </cell>
        </row>
        <row r="17">
          <cell r="D17" t="str">
            <v>35088</v>
          </cell>
          <cell r="E17">
            <v>35088</v>
          </cell>
          <cell r="F17" t="str">
            <v>CB Financial Services Ltd</v>
          </cell>
        </row>
        <row r="18">
          <cell r="D18" t="str">
            <v>35047</v>
          </cell>
          <cell r="E18">
            <v>35047</v>
          </cell>
          <cell r="F18" t="str">
            <v>Colmex FX Ltd. (Trade Net)</v>
          </cell>
        </row>
        <row r="19">
          <cell r="D19" t="str">
            <v>35051</v>
          </cell>
          <cell r="E19">
            <v>35051</v>
          </cell>
          <cell r="F19" t="str">
            <v>Devlani Middle East FZC.</v>
          </cell>
        </row>
        <row r="20">
          <cell r="D20" t="str">
            <v>31004</v>
          </cell>
          <cell r="E20">
            <v>31004</v>
          </cell>
          <cell r="F20" t="str">
            <v>ELM Financial Ltd</v>
          </cell>
        </row>
        <row r="21">
          <cell r="D21" t="str">
            <v>31004</v>
          </cell>
          <cell r="E21">
            <v>31004</v>
          </cell>
          <cell r="F21" t="str">
            <v>ELM Financial Ltd</v>
          </cell>
        </row>
        <row r="22">
          <cell r="D22" t="str">
            <v>35094</v>
          </cell>
          <cell r="E22">
            <v>35094</v>
          </cell>
          <cell r="F22" t="str">
            <v>Enfinium (HIFX) PTY Ltd</v>
          </cell>
        </row>
        <row r="23">
          <cell r="D23" t="str">
            <v>35097</v>
          </cell>
          <cell r="E23">
            <v>35097</v>
          </cell>
          <cell r="F23" t="str">
            <v>EStocks Ltd</v>
          </cell>
        </row>
        <row r="24">
          <cell r="D24" t="str">
            <v>35065</v>
          </cell>
          <cell r="E24">
            <v>35065</v>
          </cell>
          <cell r="F24" t="str">
            <v>FBS Intl' Investments Serv. Ltd</v>
          </cell>
        </row>
        <row r="25">
          <cell r="D25" t="str">
            <v>30010</v>
          </cell>
          <cell r="E25">
            <v>30010</v>
          </cell>
          <cell r="F25" t="str">
            <v>Forex Capital Trading Ltd.</v>
          </cell>
        </row>
        <row r="26">
          <cell r="D26" t="str">
            <v>35060</v>
          </cell>
          <cell r="E26">
            <v>35060</v>
          </cell>
          <cell r="F26" t="str">
            <v>Forex Control (Barrax Trading)</v>
          </cell>
        </row>
        <row r="27">
          <cell r="D27" t="str">
            <v>30002</v>
          </cell>
          <cell r="E27">
            <v>30002</v>
          </cell>
          <cell r="F27" t="str">
            <v>Forex Place Ltd.</v>
          </cell>
        </row>
        <row r="28">
          <cell r="D28" t="str">
            <v>30002</v>
          </cell>
          <cell r="E28">
            <v>30002</v>
          </cell>
          <cell r="F28" t="str">
            <v>Forex Place Ltd.</v>
          </cell>
        </row>
        <row r="29">
          <cell r="D29" t="str">
            <v>30002</v>
          </cell>
          <cell r="E29">
            <v>30002</v>
          </cell>
          <cell r="F29" t="str">
            <v>Forex Place Ltd.</v>
          </cell>
        </row>
        <row r="30">
          <cell r="D30" t="str">
            <v>30005</v>
          </cell>
          <cell r="E30">
            <v>30005</v>
          </cell>
          <cell r="F30" t="str">
            <v>Formula Investment House Ltd.</v>
          </cell>
        </row>
        <row r="31">
          <cell r="D31" t="str">
            <v>35089</v>
          </cell>
          <cell r="E31">
            <v>35089</v>
          </cell>
          <cell r="F31" t="str">
            <v>France Prod</v>
          </cell>
        </row>
        <row r="32">
          <cell r="D32" t="str">
            <v>30094</v>
          </cell>
          <cell r="E32">
            <v>30094</v>
          </cell>
          <cell r="F32" t="str">
            <v>FX Global Markets (FXGM)</v>
          </cell>
        </row>
        <row r="33">
          <cell r="D33" t="str">
            <v>35054</v>
          </cell>
          <cell r="E33">
            <v>35054</v>
          </cell>
          <cell r="F33" t="str">
            <v>FX Global Trading Inc. (WOW)</v>
          </cell>
        </row>
        <row r="34">
          <cell r="D34" t="str">
            <v>35054</v>
          </cell>
          <cell r="E34">
            <v>35054</v>
          </cell>
          <cell r="F34" t="str">
            <v>FX Global Trading Inc. (WOW)</v>
          </cell>
        </row>
        <row r="35">
          <cell r="D35" t="str">
            <v>35083</v>
          </cell>
          <cell r="E35">
            <v>35083</v>
          </cell>
          <cell r="F35" t="str">
            <v>FX24 LIMITED (Flamel)</v>
          </cell>
        </row>
        <row r="36">
          <cell r="D36" t="str">
            <v>35083</v>
          </cell>
          <cell r="E36">
            <v>35083</v>
          </cell>
          <cell r="F36" t="str">
            <v>FX24 LIMITED (Flamel)</v>
          </cell>
        </row>
        <row r="37">
          <cell r="D37" t="str">
            <v>35082</v>
          </cell>
          <cell r="E37">
            <v>35082</v>
          </cell>
          <cell r="F37" t="str">
            <v>FXCENTRAL INC.</v>
          </cell>
        </row>
        <row r="38">
          <cell r="D38" t="str">
            <v>35098</v>
          </cell>
          <cell r="E38">
            <v>35098</v>
          </cell>
          <cell r="F38" t="str">
            <v>FXQ CAPITAL LTD</v>
          </cell>
        </row>
        <row r="39">
          <cell r="D39" t="str">
            <v>35098</v>
          </cell>
          <cell r="E39">
            <v>35098</v>
          </cell>
          <cell r="F39" t="str">
            <v>FXQ CAPITAL LTD</v>
          </cell>
        </row>
        <row r="40">
          <cell r="D40" t="str">
            <v>35063</v>
          </cell>
          <cell r="E40">
            <v>35063</v>
          </cell>
          <cell r="F40" t="str">
            <v>FXTrade Financial Co. Ltd</v>
          </cell>
        </row>
        <row r="41">
          <cell r="D41" t="str">
            <v>35074</v>
          </cell>
          <cell r="E41">
            <v>35074</v>
          </cell>
          <cell r="F41" t="str">
            <v>G.I.F.X (GIFX) Ltd</v>
          </cell>
        </row>
        <row r="42">
          <cell r="D42" t="str">
            <v>35074</v>
          </cell>
          <cell r="E42">
            <v>35074</v>
          </cell>
          <cell r="F42" t="str">
            <v>G.I.F.X (GIFX) Ltd</v>
          </cell>
        </row>
        <row r="43">
          <cell r="D43" t="str">
            <v>30014</v>
          </cell>
          <cell r="E43">
            <v>30014</v>
          </cell>
          <cell r="F43" t="str">
            <v>Gamelin LTD-not active</v>
          </cell>
        </row>
        <row r="44">
          <cell r="D44" t="str">
            <v>35067</v>
          </cell>
          <cell r="E44">
            <v>35067</v>
          </cell>
          <cell r="F44" t="str">
            <v>Geecon Pte Ltd (GS Assets)</v>
          </cell>
        </row>
        <row r="45">
          <cell r="D45" t="str">
            <v>35073</v>
          </cell>
          <cell r="E45">
            <v>35073</v>
          </cell>
          <cell r="F45" t="str">
            <v>Golder Markets Limited (Koon)</v>
          </cell>
        </row>
        <row r="46">
          <cell r="D46" t="str">
            <v>35073</v>
          </cell>
          <cell r="E46">
            <v>35073</v>
          </cell>
          <cell r="F46" t="str">
            <v>Golder Markets Limited (Koon)</v>
          </cell>
        </row>
        <row r="47">
          <cell r="D47" t="str">
            <v>35092</v>
          </cell>
          <cell r="E47">
            <v>35092</v>
          </cell>
          <cell r="F47" t="str">
            <v>Gotiz Meditech Pvt Ltd</v>
          </cell>
        </row>
        <row r="48">
          <cell r="D48" t="str">
            <v>35041</v>
          </cell>
          <cell r="E48">
            <v>35041</v>
          </cell>
          <cell r="F48" t="str">
            <v>Goforex</v>
          </cell>
        </row>
        <row r="49">
          <cell r="D49" t="str">
            <v>35040</v>
          </cell>
          <cell r="E49">
            <v>35040</v>
          </cell>
          <cell r="F49" t="str">
            <v>HFX Global Ltd.</v>
          </cell>
        </row>
        <row r="50">
          <cell r="D50" t="str">
            <v>35040</v>
          </cell>
          <cell r="E50">
            <v>35040</v>
          </cell>
          <cell r="F50" t="str">
            <v>HFX Global Ltd.</v>
          </cell>
        </row>
        <row r="51">
          <cell r="D51" t="str">
            <v>35071</v>
          </cell>
          <cell r="E51">
            <v>35071</v>
          </cell>
          <cell r="F51" t="str">
            <v>IBS-M Ltd (Traders Way)</v>
          </cell>
        </row>
        <row r="52">
          <cell r="D52" t="str">
            <v>35071</v>
          </cell>
          <cell r="E52">
            <v>35071</v>
          </cell>
          <cell r="F52" t="str">
            <v>IBS-M Ltd (Traders Way)</v>
          </cell>
        </row>
        <row r="53">
          <cell r="D53" t="str">
            <v>35079</v>
          </cell>
          <cell r="E53">
            <v>35079</v>
          </cell>
          <cell r="F53" t="str">
            <v>Investment House Limited (IH-FOREX)</v>
          </cell>
        </row>
        <row r="54">
          <cell r="D54" t="str">
            <v>35070</v>
          </cell>
          <cell r="E54">
            <v>35070</v>
          </cell>
          <cell r="F54" t="str">
            <v>Investtech FX</v>
          </cell>
        </row>
        <row r="55">
          <cell r="D55" t="str">
            <v>35038</v>
          </cell>
          <cell r="E55">
            <v>35038</v>
          </cell>
          <cell r="F55" t="str">
            <v>Karinia Corporation Inc.(Spot Option/ ChargeXP)</v>
          </cell>
        </row>
        <row r="56">
          <cell r="D56" t="str">
            <v>35093</v>
          </cell>
          <cell r="E56">
            <v>35093</v>
          </cell>
          <cell r="F56" t="str">
            <v>Kingdom Works Corp</v>
          </cell>
        </row>
        <row r="57">
          <cell r="D57" t="str">
            <v>35066</v>
          </cell>
          <cell r="E57">
            <v>35066</v>
          </cell>
          <cell r="F57" t="str">
            <v>Leader Capital Ltd.(Davos)</v>
          </cell>
        </row>
        <row r="58">
          <cell r="D58" t="str">
            <v>35066</v>
          </cell>
          <cell r="E58">
            <v>35066</v>
          </cell>
          <cell r="F58" t="str">
            <v>Leader Capital Ltd.(Davos)</v>
          </cell>
        </row>
        <row r="59">
          <cell r="D59" t="str">
            <v>31002</v>
          </cell>
          <cell r="E59">
            <v>31002</v>
          </cell>
          <cell r="F59" t="str">
            <v>LEMBERG TECHNOLOGIES LTD</v>
          </cell>
        </row>
        <row r="60">
          <cell r="D60" t="str">
            <v>35055</v>
          </cell>
          <cell r="E60">
            <v>35055</v>
          </cell>
          <cell r="F60" t="str">
            <v>M&amp;S Investment Group Inc (1Lot/ Gematria Ventur)</v>
          </cell>
        </row>
        <row r="61">
          <cell r="D61" t="str">
            <v>35055</v>
          </cell>
          <cell r="E61">
            <v>35055</v>
          </cell>
          <cell r="F61" t="str">
            <v>M&amp;S Investment Group Inc (1Lot/ Gematria Ventur)</v>
          </cell>
        </row>
        <row r="62">
          <cell r="D62" t="str">
            <v>30092</v>
          </cell>
          <cell r="E62">
            <v>30092</v>
          </cell>
          <cell r="F62" t="str">
            <v>Markets (Safecap)</v>
          </cell>
        </row>
        <row r="63">
          <cell r="D63" t="str">
            <v>35039</v>
          </cell>
          <cell r="E63">
            <v>35039</v>
          </cell>
          <cell r="F63" t="str">
            <v>Markets Pulse LTD</v>
          </cell>
        </row>
        <row r="64">
          <cell r="D64" t="str">
            <v>30007</v>
          </cell>
          <cell r="E64">
            <v>30007</v>
          </cell>
          <cell r="F64" t="str">
            <v>Matach 24 LTD</v>
          </cell>
        </row>
        <row r="65">
          <cell r="D65" t="str">
            <v>35043</v>
          </cell>
          <cell r="E65">
            <v>35043</v>
          </cell>
          <cell r="F65" t="str">
            <v>Mika Holdings Inc.(NetMavrik)</v>
          </cell>
        </row>
        <row r="66">
          <cell r="D66" t="str">
            <v>35096</v>
          </cell>
          <cell r="E66">
            <v>35096</v>
          </cell>
          <cell r="F66" t="str">
            <v>NetoTrade Global Investment Ltd</v>
          </cell>
        </row>
        <row r="67">
          <cell r="D67" t="str">
            <v>35096</v>
          </cell>
          <cell r="E67">
            <v>35096</v>
          </cell>
          <cell r="F67" t="str">
            <v>NetoTrade Global Investment Ltd</v>
          </cell>
        </row>
        <row r="68">
          <cell r="D68" t="str">
            <v>35096</v>
          </cell>
          <cell r="E68">
            <v>35096</v>
          </cell>
          <cell r="F68" t="str">
            <v>NetoTrade Global Investment Ltd</v>
          </cell>
        </row>
        <row r="69">
          <cell r="D69" t="str">
            <v>35085</v>
          </cell>
          <cell r="E69">
            <v>35085</v>
          </cell>
          <cell r="F69" t="str">
            <v>Nipponz FX Ltd</v>
          </cell>
        </row>
        <row r="70">
          <cell r="D70" t="str">
            <v>35058</v>
          </cell>
          <cell r="E70">
            <v>35058</v>
          </cell>
          <cell r="F70" t="str">
            <v>OCM Holdings Limited (Askobid + XForex)</v>
          </cell>
        </row>
        <row r="71">
          <cell r="D71" t="str">
            <v>35058</v>
          </cell>
          <cell r="E71">
            <v>35058</v>
          </cell>
          <cell r="F71" t="str">
            <v>OCM Holdings Limited (Askobid + XForex)</v>
          </cell>
        </row>
        <row r="72">
          <cell r="D72" t="str">
            <v>35058</v>
          </cell>
          <cell r="E72">
            <v>35058</v>
          </cell>
          <cell r="F72" t="str">
            <v>OCM Holdings Ltd. (Askobid, Webgine)</v>
          </cell>
        </row>
        <row r="73">
          <cell r="D73" t="str">
            <v>35058</v>
          </cell>
          <cell r="E73">
            <v>35058</v>
          </cell>
          <cell r="F73" t="str">
            <v>OCM Holdings Ltd. (Askobid, Webgine)</v>
          </cell>
        </row>
        <row r="74">
          <cell r="D74" t="str">
            <v>35058</v>
          </cell>
          <cell r="E74">
            <v>35058</v>
          </cell>
          <cell r="F74" t="str">
            <v>OCM Holdings Ltd. (Askobid, Webgine)</v>
          </cell>
        </row>
        <row r="75">
          <cell r="D75" t="str">
            <v>35062</v>
          </cell>
          <cell r="E75">
            <v>35062</v>
          </cell>
          <cell r="F75" t="str">
            <v>OTC Capital Ltd.</v>
          </cell>
        </row>
        <row r="76">
          <cell r="D76" t="str">
            <v>35062</v>
          </cell>
          <cell r="E76">
            <v>35062</v>
          </cell>
          <cell r="F76" t="str">
            <v>OTC Capital Ltd.</v>
          </cell>
        </row>
        <row r="77">
          <cell r="D77" t="str">
            <v>35103</v>
          </cell>
          <cell r="E77">
            <v>35103</v>
          </cell>
          <cell r="F77" t="str">
            <v>Universalmade Capital Ltd</v>
          </cell>
        </row>
        <row r="78">
          <cell r="D78" t="str">
            <v>35099</v>
          </cell>
          <cell r="E78">
            <v>35099</v>
          </cell>
          <cell r="F78" t="str">
            <v>SmartTradeFX (AAAECN)</v>
          </cell>
        </row>
        <row r="79">
          <cell r="D79" t="str">
            <v>35072</v>
          </cell>
          <cell r="E79">
            <v>35072</v>
          </cell>
          <cell r="F79" t="str">
            <v>Solidity Finance Ltd</v>
          </cell>
        </row>
        <row r="80">
          <cell r="D80" t="str">
            <v>35072</v>
          </cell>
          <cell r="E80">
            <v>35072</v>
          </cell>
          <cell r="F80" t="str">
            <v>Solidity Finance Ltd</v>
          </cell>
        </row>
        <row r="81">
          <cell r="D81" t="str">
            <v>35087</v>
          </cell>
          <cell r="E81">
            <v>35087</v>
          </cell>
          <cell r="F81" t="str">
            <v>Starfish Finance Ltd</v>
          </cell>
        </row>
        <row r="82">
          <cell r="D82" t="str">
            <v>35100</v>
          </cell>
          <cell r="E82">
            <v>35100</v>
          </cell>
          <cell r="F82" t="str">
            <v>Stephane Laveult</v>
          </cell>
        </row>
        <row r="83">
          <cell r="D83" t="str">
            <v>30011</v>
          </cell>
          <cell r="E83">
            <v>30011</v>
          </cell>
          <cell r="F83" t="str">
            <v>Talniri (Trade 770)</v>
          </cell>
        </row>
        <row r="84">
          <cell r="D84" t="str">
            <v>35090</v>
          </cell>
          <cell r="E84">
            <v>35090</v>
          </cell>
          <cell r="F84" t="str">
            <v>Trada Ltd</v>
          </cell>
        </row>
        <row r="85">
          <cell r="D85" t="str">
            <v>35090</v>
          </cell>
          <cell r="E85">
            <v>35090</v>
          </cell>
          <cell r="F85" t="str">
            <v>Trada Ltd</v>
          </cell>
        </row>
        <row r="86">
          <cell r="D86" t="str">
            <v>35075</v>
          </cell>
          <cell r="E86">
            <v>35075</v>
          </cell>
          <cell r="F86" t="str">
            <v>Trade 246 (Neto Trade)</v>
          </cell>
        </row>
        <row r="87">
          <cell r="D87" t="str">
            <v>35036</v>
          </cell>
          <cell r="E87">
            <v>35036</v>
          </cell>
          <cell r="F87" t="str">
            <v>Trade FX Ltd. (Traders Traffic Finexo GFC)</v>
          </cell>
        </row>
        <row r="88">
          <cell r="D88" t="str">
            <v>30006</v>
          </cell>
          <cell r="E88">
            <v>30006</v>
          </cell>
          <cell r="F88" t="str">
            <v>Trade Networks Ltd. (Bforex)</v>
          </cell>
        </row>
        <row r="89">
          <cell r="D89" t="str">
            <v>35069</v>
          </cell>
          <cell r="E89">
            <v>35069</v>
          </cell>
          <cell r="F89" t="str">
            <v>Trendoks IMG Ltd (Forex AZ)</v>
          </cell>
        </row>
        <row r="90">
          <cell r="D90" t="str">
            <v>30017</v>
          </cell>
          <cell r="E90">
            <v>30017</v>
          </cell>
          <cell r="F90" t="str">
            <v>USG Finance Limited (You Trade)</v>
          </cell>
        </row>
        <row r="91">
          <cell r="D91" t="str">
            <v>35081</v>
          </cell>
          <cell r="E91">
            <v>35081</v>
          </cell>
          <cell r="F91" t="str">
            <v>Venis Technologics Ltd.</v>
          </cell>
        </row>
        <row r="92">
          <cell r="D92" t="str">
            <v>35052</v>
          </cell>
          <cell r="E92">
            <v>35052</v>
          </cell>
          <cell r="F92" t="str">
            <v>VSI Technical Support Ltd (Broco)</v>
          </cell>
        </row>
        <row r="93">
          <cell r="D93" t="str">
            <v>35095</v>
          </cell>
          <cell r="E93">
            <v>35095</v>
          </cell>
          <cell r="F93" t="str">
            <v>WorldFX Pro Inc.</v>
          </cell>
        </row>
        <row r="94">
          <cell r="D94" t="str">
            <v>35095</v>
          </cell>
          <cell r="E94">
            <v>35095</v>
          </cell>
          <cell r="F94" t="str">
            <v>WorldFX Pro Inc.</v>
          </cell>
        </row>
        <row r="95">
          <cell r="D95" t="str">
            <v>35101</v>
          </cell>
          <cell r="E95">
            <v>35101</v>
          </cell>
          <cell r="F95" t="str">
            <v>WorldSpreads Ltd</v>
          </cell>
        </row>
        <row r="96">
          <cell r="D96" t="str">
            <v>30003</v>
          </cell>
          <cell r="E96">
            <v>30003</v>
          </cell>
          <cell r="F96" t="str">
            <v>YOU TRADE HOLDINGS LIMITED</v>
          </cell>
        </row>
        <row r="97">
          <cell r="D97" t="str">
            <v>35104</v>
          </cell>
          <cell r="E97">
            <v>35104</v>
          </cell>
          <cell r="F97" t="str">
            <v>Kingstone Capital</v>
          </cell>
        </row>
        <row r="98">
          <cell r="D98" t="str">
            <v>35106</v>
          </cell>
          <cell r="E98">
            <v>35106</v>
          </cell>
          <cell r="F98" t="str">
            <v>BGO Group Ltd</v>
          </cell>
        </row>
        <row r="99">
          <cell r="D99" t="str">
            <v>35106</v>
          </cell>
          <cell r="E99">
            <v>35106</v>
          </cell>
          <cell r="F99" t="str">
            <v>BGO Group Ltd</v>
          </cell>
        </row>
        <row r="100">
          <cell r="D100" t="str">
            <v>35108</v>
          </cell>
          <cell r="E100">
            <v>35108</v>
          </cell>
          <cell r="F100" t="str">
            <v>Sadalbari Investments</v>
          </cell>
        </row>
        <row r="101">
          <cell r="D101" t="str">
            <v>35109</v>
          </cell>
          <cell r="E101">
            <v>35109</v>
          </cell>
          <cell r="F101" t="str">
            <v>Saxo Bank A/S</v>
          </cell>
        </row>
        <row r="102">
          <cell r="D102" t="str">
            <v>35110</v>
          </cell>
          <cell r="E102">
            <v>35110</v>
          </cell>
          <cell r="F102" t="str">
            <v>MT Capital Partners</v>
          </cell>
        </row>
        <row r="103">
          <cell r="D103" t="str">
            <v>35111</v>
          </cell>
          <cell r="E103">
            <v>35111</v>
          </cell>
          <cell r="F103" t="str">
            <v>IBF Invest Ltd</v>
          </cell>
        </row>
        <row r="104">
          <cell r="D104" t="str">
            <v>35112</v>
          </cell>
          <cell r="E104">
            <v>35112</v>
          </cell>
          <cell r="F104" t="str">
            <v>Noble Services Ltd</v>
          </cell>
        </row>
        <row r="105">
          <cell r="D105" t="str">
            <v>35113</v>
          </cell>
          <cell r="E105">
            <v>35113</v>
          </cell>
          <cell r="F105" t="str">
            <v>Strategem FX Ltd</v>
          </cell>
        </row>
        <row r="106">
          <cell r="D106" t="str">
            <v>35114</v>
          </cell>
          <cell r="E106">
            <v>35114</v>
          </cell>
          <cell r="F106" t="str">
            <v>3TGFX Financial Limited Partnership</v>
          </cell>
        </row>
        <row r="107">
          <cell r="D107" t="str">
            <v>35115</v>
          </cell>
          <cell r="E107">
            <v>35115</v>
          </cell>
          <cell r="F107" t="str">
            <v>WGM Services LTD</v>
          </cell>
        </row>
        <row r="108">
          <cell r="D108" t="str">
            <v>35116</v>
          </cell>
          <cell r="E108">
            <v>35116</v>
          </cell>
          <cell r="F108" t="str">
            <v>Yaara-Eric Harbor</v>
          </cell>
        </row>
        <row r="109">
          <cell r="D109" t="str">
            <v>35117</v>
          </cell>
          <cell r="E109">
            <v>35117</v>
          </cell>
          <cell r="F109" t="str">
            <v>C-Pattern</v>
          </cell>
        </row>
        <row r="110">
          <cell r="D110" t="str">
            <v>35118</v>
          </cell>
          <cell r="E110">
            <v>35118</v>
          </cell>
          <cell r="F110" t="str">
            <v>Sanjeev Shaw</v>
          </cell>
        </row>
        <row r="111">
          <cell r="D111" t="str">
            <v>35119</v>
          </cell>
          <cell r="E111">
            <v>35119</v>
          </cell>
          <cell r="F111" t="str">
            <v>Trade 24</v>
          </cell>
        </row>
        <row r="112">
          <cell r="D112" t="str">
            <v>35120</v>
          </cell>
          <cell r="E112">
            <v>35120</v>
          </cell>
          <cell r="F112" t="str">
            <v>Axiory Ltd</v>
          </cell>
        </row>
        <row r="113">
          <cell r="D113" t="str">
            <v>35121</v>
          </cell>
          <cell r="E113">
            <v>35121</v>
          </cell>
          <cell r="F113" t="str">
            <v>MADHU MOHAN PARIPALLY</v>
          </cell>
        </row>
        <row r="114">
          <cell r="D114" t="str">
            <v>35122</v>
          </cell>
          <cell r="E114">
            <v>35122</v>
          </cell>
          <cell r="F114" t="str">
            <v>Unimint Securities Ltd</v>
          </cell>
        </row>
      </sheetData>
      <sheetData sheetId="1"/>
      <sheetData sheetId="2"/>
      <sheetData sheetId="3"/>
      <sheetData sheetId="4"/>
      <sheetData sheetId="5">
        <row r="1">
          <cell r="G1" t="str">
            <v>FromVol</v>
          </cell>
          <cell r="H1" t="str">
            <v>ToVol</v>
          </cell>
          <cell r="I1" t="str">
            <v>Prograsive\Uniqe (P\U)</v>
          </cell>
          <cell r="J1" t="str">
            <v>Price</v>
          </cell>
          <cell r="K1" t="str">
            <v>VolDone</v>
          </cell>
          <cell r="L1" t="str">
            <v>VolToCalcProg</v>
          </cell>
          <cell r="M1" t="str">
            <v>VolToCalcUniqe</v>
          </cell>
          <cell r="N1" t="str">
            <v>VolToCalc</v>
          </cell>
        </row>
        <row r="2">
          <cell r="J2">
            <v>7</v>
          </cell>
          <cell r="K2">
            <v>218234</v>
          </cell>
          <cell r="L2">
            <v>0</v>
          </cell>
          <cell r="M2">
            <v>0</v>
          </cell>
          <cell r="N2">
            <v>218.23400000000001</v>
          </cell>
        </row>
        <row r="3">
          <cell r="J3">
            <v>7</v>
          </cell>
          <cell r="K3">
            <v>272491.3</v>
          </cell>
          <cell r="L3">
            <v>0</v>
          </cell>
          <cell r="M3">
            <v>0</v>
          </cell>
          <cell r="N3">
            <v>272.49129999999997</v>
          </cell>
        </row>
        <row r="4">
          <cell r="J4">
            <v>12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J5">
            <v>12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</row>
        <row r="6">
          <cell r="G6">
            <v>0</v>
          </cell>
          <cell r="H6">
            <v>2500000</v>
          </cell>
          <cell r="I6" t="str">
            <v>P</v>
          </cell>
          <cell r="J6">
            <v>7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</row>
        <row r="7">
          <cell r="G7">
            <v>2500000</v>
          </cell>
          <cell r="H7">
            <v>5000000</v>
          </cell>
          <cell r="I7" t="str">
            <v>P</v>
          </cell>
          <cell r="J7">
            <v>6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</row>
        <row r="8">
          <cell r="G8">
            <v>5000000</v>
          </cell>
          <cell r="H8">
            <v>15000000</v>
          </cell>
          <cell r="I8" t="str">
            <v>P</v>
          </cell>
          <cell r="J8">
            <v>4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</row>
        <row r="9">
          <cell r="G9">
            <v>15000000</v>
          </cell>
          <cell r="H9">
            <v>20000000</v>
          </cell>
          <cell r="I9" t="str">
            <v>P</v>
          </cell>
          <cell r="J9">
            <v>3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</row>
        <row r="10">
          <cell r="G10">
            <v>20000000</v>
          </cell>
          <cell r="H10">
            <v>99999999</v>
          </cell>
          <cell r="I10" t="str">
            <v>P</v>
          </cell>
          <cell r="J10">
            <v>2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</row>
        <row r="11">
          <cell r="G11">
            <v>0</v>
          </cell>
          <cell r="H11">
            <v>1000000</v>
          </cell>
          <cell r="I11" t="str">
            <v>P</v>
          </cell>
          <cell r="J11">
            <v>6</v>
          </cell>
          <cell r="K11">
            <v>3837999.0999999992</v>
          </cell>
          <cell r="L11">
            <v>1000000</v>
          </cell>
          <cell r="M11">
            <v>0</v>
          </cell>
          <cell r="N11">
            <v>1000</v>
          </cell>
        </row>
        <row r="12">
          <cell r="G12">
            <v>1000000</v>
          </cell>
          <cell r="H12">
            <v>2000000</v>
          </cell>
          <cell r="I12" t="str">
            <v>P</v>
          </cell>
          <cell r="J12">
            <v>5</v>
          </cell>
          <cell r="K12">
            <v>3837999.0999999992</v>
          </cell>
          <cell r="L12">
            <v>1000000</v>
          </cell>
          <cell r="M12">
            <v>0</v>
          </cell>
          <cell r="N12">
            <v>1000</v>
          </cell>
        </row>
        <row r="13">
          <cell r="G13">
            <v>2000000</v>
          </cell>
          <cell r="H13">
            <v>3000000</v>
          </cell>
          <cell r="I13" t="str">
            <v>P</v>
          </cell>
          <cell r="J13">
            <v>4</v>
          </cell>
          <cell r="K13">
            <v>3837999.0999999992</v>
          </cell>
          <cell r="L13">
            <v>1000000</v>
          </cell>
          <cell r="M13">
            <v>0</v>
          </cell>
          <cell r="N13">
            <v>1000</v>
          </cell>
        </row>
        <row r="14">
          <cell r="G14">
            <v>3000000</v>
          </cell>
          <cell r="H14">
            <v>99999999</v>
          </cell>
          <cell r="I14" t="str">
            <v>P</v>
          </cell>
          <cell r="J14">
            <v>3</v>
          </cell>
          <cell r="K14">
            <v>3837999.0999999992</v>
          </cell>
          <cell r="L14">
            <v>837999.09999999916</v>
          </cell>
          <cell r="M14">
            <v>3837999.0999999992</v>
          </cell>
          <cell r="N14">
            <v>837.9990999999992</v>
          </cell>
        </row>
        <row r="15">
          <cell r="J15">
            <v>12</v>
          </cell>
          <cell r="K15">
            <v>480399.40000000008</v>
          </cell>
          <cell r="L15">
            <v>0</v>
          </cell>
          <cell r="M15">
            <v>0</v>
          </cell>
          <cell r="N15">
            <v>480.39940000000007</v>
          </cell>
        </row>
        <row r="16">
          <cell r="J16">
            <v>15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</row>
        <row r="17">
          <cell r="J17">
            <v>15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</row>
        <row r="18">
          <cell r="J18">
            <v>9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</row>
        <row r="19">
          <cell r="J19">
            <v>11</v>
          </cell>
          <cell r="K19">
            <v>39328.691000000006</v>
          </cell>
          <cell r="L19">
            <v>0</v>
          </cell>
          <cell r="M19">
            <v>0</v>
          </cell>
          <cell r="N19">
            <v>39.328691000000006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5</v>
          </cell>
          <cell r="K20">
            <v>3741837.3840000001</v>
          </cell>
          <cell r="L20">
            <v>0</v>
          </cell>
          <cell r="M20">
            <v>0</v>
          </cell>
          <cell r="N20">
            <v>3741.8373839999999</v>
          </cell>
        </row>
        <row r="21">
          <cell r="J21">
            <v>12</v>
          </cell>
          <cell r="K21">
            <v>274404.09999999998</v>
          </cell>
          <cell r="L21">
            <v>0</v>
          </cell>
          <cell r="M21">
            <v>0</v>
          </cell>
          <cell r="N21">
            <v>274.40409999999997</v>
          </cell>
        </row>
        <row r="22">
          <cell r="J22">
            <v>3</v>
          </cell>
          <cell r="K22">
            <v>370549.79300000001</v>
          </cell>
          <cell r="L22">
            <v>0</v>
          </cell>
          <cell r="M22">
            <v>0</v>
          </cell>
          <cell r="N22">
            <v>370.54979300000002</v>
          </cell>
        </row>
        <row r="23">
          <cell r="J23">
            <v>12</v>
          </cell>
          <cell r="K23">
            <v>33470.199999999997</v>
          </cell>
          <cell r="L23">
            <v>0</v>
          </cell>
          <cell r="M23">
            <v>0</v>
          </cell>
          <cell r="N23">
            <v>33.470199999999998</v>
          </cell>
        </row>
        <row r="24">
          <cell r="G24">
            <v>0</v>
          </cell>
          <cell r="H24">
            <v>1000000</v>
          </cell>
          <cell r="I24" t="str">
            <v>U</v>
          </cell>
          <cell r="J24">
            <v>12</v>
          </cell>
          <cell r="K24">
            <v>598625.6</v>
          </cell>
          <cell r="L24">
            <v>598625.6</v>
          </cell>
          <cell r="M24">
            <v>598625.6</v>
          </cell>
          <cell r="N24">
            <v>598.62559999999996</v>
          </cell>
        </row>
        <row r="25">
          <cell r="G25">
            <v>1000000</v>
          </cell>
          <cell r="H25">
            <v>2000000</v>
          </cell>
          <cell r="I25" t="str">
            <v>U</v>
          </cell>
          <cell r="J25">
            <v>11</v>
          </cell>
          <cell r="K25">
            <v>598625.6</v>
          </cell>
          <cell r="L25">
            <v>0</v>
          </cell>
          <cell r="M25">
            <v>0</v>
          </cell>
          <cell r="N25">
            <v>0</v>
          </cell>
        </row>
        <row r="26">
          <cell r="G26">
            <v>2000000</v>
          </cell>
          <cell r="H26">
            <v>3000000</v>
          </cell>
          <cell r="I26" t="str">
            <v>U</v>
          </cell>
          <cell r="J26">
            <v>10</v>
          </cell>
          <cell r="K26">
            <v>598625.6</v>
          </cell>
          <cell r="L26">
            <v>0</v>
          </cell>
          <cell r="M26">
            <v>0</v>
          </cell>
          <cell r="N26">
            <v>0</v>
          </cell>
        </row>
        <row r="27">
          <cell r="G27">
            <v>3000000</v>
          </cell>
          <cell r="H27">
            <v>4000000</v>
          </cell>
          <cell r="I27" t="str">
            <v>U</v>
          </cell>
          <cell r="J27">
            <v>9</v>
          </cell>
          <cell r="K27">
            <v>598625.6</v>
          </cell>
          <cell r="L27">
            <v>0</v>
          </cell>
          <cell r="M27">
            <v>0</v>
          </cell>
          <cell r="N27">
            <v>0</v>
          </cell>
        </row>
        <row r="28">
          <cell r="G28">
            <v>4000000</v>
          </cell>
          <cell r="H28">
            <v>5000000</v>
          </cell>
          <cell r="I28" t="str">
            <v>U</v>
          </cell>
          <cell r="J28">
            <v>8</v>
          </cell>
          <cell r="K28">
            <v>598625.6</v>
          </cell>
          <cell r="L28">
            <v>0</v>
          </cell>
          <cell r="M28">
            <v>0</v>
          </cell>
          <cell r="N28">
            <v>0</v>
          </cell>
        </row>
        <row r="29">
          <cell r="G29">
            <v>5000000</v>
          </cell>
          <cell r="H29">
            <v>7000000</v>
          </cell>
          <cell r="I29" t="str">
            <v>U</v>
          </cell>
          <cell r="J29">
            <v>7</v>
          </cell>
          <cell r="K29">
            <v>598625.6</v>
          </cell>
          <cell r="L29">
            <v>0</v>
          </cell>
          <cell r="M29">
            <v>0</v>
          </cell>
          <cell r="N29">
            <v>0</v>
          </cell>
        </row>
        <row r="30">
          <cell r="G30">
            <v>7000000</v>
          </cell>
          <cell r="H30">
            <v>8000000</v>
          </cell>
          <cell r="I30" t="str">
            <v>U</v>
          </cell>
          <cell r="J30">
            <v>6.5</v>
          </cell>
          <cell r="K30">
            <v>598625.6</v>
          </cell>
          <cell r="L30">
            <v>0</v>
          </cell>
          <cell r="M30">
            <v>0</v>
          </cell>
          <cell r="N30">
            <v>0</v>
          </cell>
        </row>
        <row r="31">
          <cell r="G31">
            <v>8000000</v>
          </cell>
          <cell r="H31">
            <v>99999999</v>
          </cell>
          <cell r="I31" t="str">
            <v>U</v>
          </cell>
          <cell r="J31">
            <v>6</v>
          </cell>
          <cell r="K31">
            <v>598625.6</v>
          </cell>
          <cell r="L31">
            <v>0</v>
          </cell>
          <cell r="M31">
            <v>0</v>
          </cell>
          <cell r="N31">
            <v>0</v>
          </cell>
        </row>
        <row r="32">
          <cell r="J32">
            <v>15</v>
          </cell>
          <cell r="K32">
            <v>181304.19999999998</v>
          </cell>
          <cell r="L32">
            <v>0</v>
          </cell>
          <cell r="M32">
            <v>0</v>
          </cell>
          <cell r="N32">
            <v>181.30419999999998</v>
          </cell>
        </row>
        <row r="33">
          <cell r="J33">
            <v>13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</row>
        <row r="34">
          <cell r="J34">
            <v>12</v>
          </cell>
          <cell r="K34">
            <v>19372.299999999996</v>
          </cell>
          <cell r="L34">
            <v>0</v>
          </cell>
          <cell r="M34">
            <v>0</v>
          </cell>
          <cell r="N34">
            <v>19.372299999999996</v>
          </cell>
        </row>
        <row r="35">
          <cell r="J35">
            <v>15</v>
          </cell>
          <cell r="K35">
            <v>44668.99</v>
          </cell>
          <cell r="L35">
            <v>0</v>
          </cell>
          <cell r="M35">
            <v>0</v>
          </cell>
          <cell r="N35">
            <v>44.668990000000001</v>
          </cell>
        </row>
        <row r="36">
          <cell r="J36">
            <v>13</v>
          </cell>
          <cell r="K36">
            <v>8094.2</v>
          </cell>
          <cell r="L36">
            <v>0</v>
          </cell>
          <cell r="M36">
            <v>0</v>
          </cell>
          <cell r="N36">
            <v>8.094199999999999</v>
          </cell>
        </row>
        <row r="37">
          <cell r="G37">
            <v>0</v>
          </cell>
          <cell r="H37">
            <v>1000000</v>
          </cell>
          <cell r="I37" t="str">
            <v>P</v>
          </cell>
          <cell r="J37">
            <v>13</v>
          </cell>
          <cell r="K37">
            <v>250468.2</v>
          </cell>
          <cell r="L37">
            <v>250468.2</v>
          </cell>
          <cell r="M37">
            <v>250468.2</v>
          </cell>
          <cell r="N37">
            <v>250.46820000000002</v>
          </cell>
        </row>
        <row r="38">
          <cell r="G38">
            <v>1000000</v>
          </cell>
          <cell r="H38">
            <v>2000000</v>
          </cell>
          <cell r="I38" t="str">
            <v>P</v>
          </cell>
          <cell r="J38">
            <v>12</v>
          </cell>
          <cell r="K38">
            <v>250468.2</v>
          </cell>
          <cell r="L38">
            <v>0</v>
          </cell>
          <cell r="M38">
            <v>0</v>
          </cell>
          <cell r="N38">
            <v>0</v>
          </cell>
        </row>
        <row r="39">
          <cell r="G39">
            <v>2000000</v>
          </cell>
          <cell r="H39">
            <v>3000000</v>
          </cell>
          <cell r="I39" t="str">
            <v>P</v>
          </cell>
          <cell r="J39">
            <v>11</v>
          </cell>
          <cell r="K39">
            <v>250468.2</v>
          </cell>
          <cell r="L39">
            <v>0</v>
          </cell>
          <cell r="M39">
            <v>0</v>
          </cell>
          <cell r="N39">
            <v>0</v>
          </cell>
        </row>
        <row r="40">
          <cell r="G40">
            <v>3000000</v>
          </cell>
          <cell r="H40">
            <v>4000000</v>
          </cell>
          <cell r="I40" t="str">
            <v>P</v>
          </cell>
          <cell r="J40">
            <v>10</v>
          </cell>
          <cell r="K40">
            <v>250468.2</v>
          </cell>
          <cell r="L40">
            <v>0</v>
          </cell>
          <cell r="M40">
            <v>0</v>
          </cell>
          <cell r="N40">
            <v>0</v>
          </cell>
        </row>
        <row r="41">
          <cell r="G41">
            <v>4000000</v>
          </cell>
          <cell r="H41">
            <v>5000000</v>
          </cell>
          <cell r="I41" t="str">
            <v>P</v>
          </cell>
          <cell r="J41">
            <v>9</v>
          </cell>
          <cell r="K41">
            <v>250468.2</v>
          </cell>
          <cell r="L41">
            <v>0</v>
          </cell>
          <cell r="M41">
            <v>0</v>
          </cell>
          <cell r="N41">
            <v>0</v>
          </cell>
        </row>
        <row r="42">
          <cell r="G42">
            <v>5000000</v>
          </cell>
          <cell r="H42">
            <v>99999999</v>
          </cell>
          <cell r="I42" t="str">
            <v>P</v>
          </cell>
          <cell r="J42">
            <v>8</v>
          </cell>
          <cell r="K42">
            <v>250468.2</v>
          </cell>
          <cell r="L42">
            <v>0</v>
          </cell>
          <cell r="M42">
            <v>0</v>
          </cell>
          <cell r="N42">
            <v>0</v>
          </cell>
        </row>
        <row r="43">
          <cell r="J43">
            <v>15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</row>
        <row r="44">
          <cell r="J44">
            <v>7</v>
          </cell>
          <cell r="K44">
            <v>24263.500000000004</v>
          </cell>
          <cell r="L44">
            <v>0</v>
          </cell>
          <cell r="M44">
            <v>0</v>
          </cell>
          <cell r="N44">
            <v>24.263500000000004</v>
          </cell>
        </row>
        <row r="45">
          <cell r="J45">
            <v>15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</row>
        <row r="46">
          <cell r="G46">
            <v>0</v>
          </cell>
          <cell r="H46">
            <v>1000000</v>
          </cell>
          <cell r="I46" t="str">
            <v>P</v>
          </cell>
          <cell r="J46">
            <v>11</v>
          </cell>
          <cell r="K46">
            <v>4833685.9230000004</v>
          </cell>
          <cell r="L46">
            <v>1000000</v>
          </cell>
          <cell r="M46">
            <v>0</v>
          </cell>
          <cell r="N46">
            <v>1000</v>
          </cell>
        </row>
        <row r="47">
          <cell r="G47">
            <v>1000000</v>
          </cell>
          <cell r="H47">
            <v>2000000</v>
          </cell>
          <cell r="I47" t="str">
            <v>P</v>
          </cell>
          <cell r="J47">
            <v>10</v>
          </cell>
          <cell r="K47">
            <v>4833685.9230000004</v>
          </cell>
          <cell r="L47">
            <v>1000000</v>
          </cell>
          <cell r="M47">
            <v>0</v>
          </cell>
          <cell r="N47">
            <v>1000</v>
          </cell>
        </row>
        <row r="48">
          <cell r="G48">
            <v>2000000</v>
          </cell>
          <cell r="H48">
            <v>3000000</v>
          </cell>
          <cell r="I48" t="str">
            <v>P</v>
          </cell>
          <cell r="J48">
            <v>9</v>
          </cell>
          <cell r="K48">
            <v>4833685.9230000004</v>
          </cell>
          <cell r="L48">
            <v>1000000</v>
          </cell>
          <cell r="M48">
            <v>0</v>
          </cell>
          <cell r="N48">
            <v>1000</v>
          </cell>
        </row>
        <row r="49">
          <cell r="G49">
            <v>3000000</v>
          </cell>
          <cell r="H49">
            <v>4000000</v>
          </cell>
          <cell r="I49" t="str">
            <v>P</v>
          </cell>
          <cell r="J49">
            <v>8</v>
          </cell>
          <cell r="K49">
            <v>4833685.9230000004</v>
          </cell>
          <cell r="L49">
            <v>1000000</v>
          </cell>
          <cell r="M49">
            <v>0</v>
          </cell>
          <cell r="N49">
            <v>1000</v>
          </cell>
        </row>
        <row r="50">
          <cell r="G50">
            <v>4000000</v>
          </cell>
          <cell r="H50">
            <v>5000000</v>
          </cell>
          <cell r="I50" t="str">
            <v>P</v>
          </cell>
          <cell r="J50">
            <v>7</v>
          </cell>
          <cell r="K50">
            <v>4833685.9230000004</v>
          </cell>
          <cell r="L50">
            <v>833685.92300000042</v>
          </cell>
          <cell r="M50">
            <v>4833685.9230000004</v>
          </cell>
          <cell r="N50">
            <v>833.68592300000046</v>
          </cell>
        </row>
        <row r="51">
          <cell r="G51">
            <v>5000000</v>
          </cell>
          <cell r="H51">
            <v>99999999</v>
          </cell>
          <cell r="I51" t="str">
            <v>P</v>
          </cell>
          <cell r="J51">
            <v>6</v>
          </cell>
          <cell r="K51">
            <v>4833685.9230000004</v>
          </cell>
          <cell r="L51">
            <v>0</v>
          </cell>
          <cell r="M51">
            <v>0</v>
          </cell>
          <cell r="N51">
            <v>0</v>
          </cell>
        </row>
        <row r="52">
          <cell r="J52">
            <v>15</v>
          </cell>
          <cell r="K52">
            <v>38328.300000000003</v>
          </cell>
          <cell r="L52">
            <v>0</v>
          </cell>
          <cell r="M52">
            <v>0</v>
          </cell>
          <cell r="N52">
            <v>38.328300000000006</v>
          </cell>
        </row>
        <row r="53">
          <cell r="G53">
            <v>0</v>
          </cell>
          <cell r="H53">
            <v>1000000</v>
          </cell>
          <cell r="I53" t="str">
            <v>P</v>
          </cell>
          <cell r="J53">
            <v>15</v>
          </cell>
          <cell r="K53">
            <v>333164.94500000001</v>
          </cell>
          <cell r="L53">
            <v>333164.94500000001</v>
          </cell>
          <cell r="M53">
            <v>333164.94500000001</v>
          </cell>
          <cell r="N53">
            <v>333.16494499999999</v>
          </cell>
        </row>
        <row r="54">
          <cell r="G54">
            <v>1000000</v>
          </cell>
          <cell r="H54">
            <v>2000000</v>
          </cell>
          <cell r="I54" t="str">
            <v>P</v>
          </cell>
          <cell r="J54">
            <v>14</v>
          </cell>
          <cell r="K54">
            <v>333164.94500000001</v>
          </cell>
          <cell r="L54">
            <v>0</v>
          </cell>
          <cell r="M54">
            <v>0</v>
          </cell>
          <cell r="N54">
            <v>0</v>
          </cell>
        </row>
        <row r="55">
          <cell r="G55">
            <v>2000000</v>
          </cell>
          <cell r="H55">
            <v>3000000</v>
          </cell>
          <cell r="I55" t="str">
            <v>P</v>
          </cell>
          <cell r="J55">
            <v>13</v>
          </cell>
          <cell r="K55">
            <v>333164.94500000001</v>
          </cell>
          <cell r="L55">
            <v>0</v>
          </cell>
          <cell r="M55">
            <v>0</v>
          </cell>
          <cell r="N55">
            <v>0</v>
          </cell>
        </row>
        <row r="56">
          <cell r="G56">
            <v>3000000</v>
          </cell>
          <cell r="H56">
            <v>4000000</v>
          </cell>
          <cell r="I56" t="str">
            <v>P</v>
          </cell>
          <cell r="J56">
            <v>12</v>
          </cell>
          <cell r="K56">
            <v>333164.94500000001</v>
          </cell>
          <cell r="L56">
            <v>0</v>
          </cell>
          <cell r="M56">
            <v>0</v>
          </cell>
          <cell r="N56">
            <v>0</v>
          </cell>
        </row>
        <row r="57">
          <cell r="G57">
            <v>4000000</v>
          </cell>
          <cell r="H57">
            <v>5000000</v>
          </cell>
          <cell r="I57" t="str">
            <v>P</v>
          </cell>
          <cell r="J57">
            <v>11</v>
          </cell>
          <cell r="K57">
            <v>333164.94500000001</v>
          </cell>
          <cell r="L57">
            <v>0</v>
          </cell>
          <cell r="M57">
            <v>0</v>
          </cell>
          <cell r="N57">
            <v>0</v>
          </cell>
        </row>
        <row r="58">
          <cell r="G58">
            <v>5000000</v>
          </cell>
          <cell r="H58">
            <v>99999999</v>
          </cell>
          <cell r="I58" t="str">
            <v>P</v>
          </cell>
          <cell r="J58">
            <v>10</v>
          </cell>
          <cell r="K58">
            <v>333164.94500000001</v>
          </cell>
          <cell r="L58">
            <v>0</v>
          </cell>
          <cell r="M58">
            <v>0</v>
          </cell>
          <cell r="N58">
            <v>0</v>
          </cell>
        </row>
        <row r="59">
          <cell r="G59">
            <v>0</v>
          </cell>
          <cell r="H59">
            <v>1000000</v>
          </cell>
          <cell r="I59" t="str">
            <v>P</v>
          </cell>
          <cell r="J59">
            <v>13</v>
          </cell>
          <cell r="K59">
            <v>193205.2</v>
          </cell>
          <cell r="L59">
            <v>193205.2</v>
          </cell>
          <cell r="M59">
            <v>193205.2</v>
          </cell>
          <cell r="N59">
            <v>193.20520000000002</v>
          </cell>
        </row>
        <row r="60">
          <cell r="G60">
            <v>1000000</v>
          </cell>
          <cell r="H60">
            <v>2000000</v>
          </cell>
          <cell r="I60" t="str">
            <v>P</v>
          </cell>
          <cell r="J60">
            <v>12</v>
          </cell>
          <cell r="K60">
            <v>193205.2</v>
          </cell>
          <cell r="L60">
            <v>0</v>
          </cell>
          <cell r="M60">
            <v>0</v>
          </cell>
          <cell r="N60">
            <v>0</v>
          </cell>
        </row>
        <row r="61">
          <cell r="G61">
            <v>2000000</v>
          </cell>
          <cell r="H61">
            <v>3000000</v>
          </cell>
          <cell r="I61" t="str">
            <v>P</v>
          </cell>
          <cell r="J61">
            <v>11</v>
          </cell>
          <cell r="K61">
            <v>193205.2</v>
          </cell>
          <cell r="L61">
            <v>0</v>
          </cell>
          <cell r="M61">
            <v>0</v>
          </cell>
          <cell r="N61">
            <v>0</v>
          </cell>
        </row>
        <row r="62">
          <cell r="G62">
            <v>3000000</v>
          </cell>
          <cell r="H62">
            <v>4000000</v>
          </cell>
          <cell r="I62" t="str">
            <v>P</v>
          </cell>
          <cell r="J62">
            <v>10</v>
          </cell>
          <cell r="K62">
            <v>193205.2</v>
          </cell>
          <cell r="L62">
            <v>0</v>
          </cell>
          <cell r="M62">
            <v>0</v>
          </cell>
          <cell r="N62">
            <v>0</v>
          </cell>
        </row>
        <row r="63">
          <cell r="G63">
            <v>4000000</v>
          </cell>
          <cell r="H63">
            <v>5000000</v>
          </cell>
          <cell r="I63" t="str">
            <v>P</v>
          </cell>
          <cell r="J63">
            <v>9</v>
          </cell>
          <cell r="K63">
            <v>193205.2</v>
          </cell>
          <cell r="L63">
            <v>0</v>
          </cell>
          <cell r="M63">
            <v>0</v>
          </cell>
          <cell r="N63">
            <v>0</v>
          </cell>
        </row>
        <row r="64">
          <cell r="G64">
            <v>5000000</v>
          </cell>
          <cell r="H64">
            <v>99999999</v>
          </cell>
          <cell r="I64" t="str">
            <v>P</v>
          </cell>
          <cell r="J64">
            <v>8</v>
          </cell>
          <cell r="K64">
            <v>193205.2</v>
          </cell>
          <cell r="L64">
            <v>0</v>
          </cell>
          <cell r="M64">
            <v>0</v>
          </cell>
          <cell r="N64">
            <v>0</v>
          </cell>
        </row>
        <row r="65">
          <cell r="G65">
            <v>0</v>
          </cell>
          <cell r="H65">
            <v>750000</v>
          </cell>
          <cell r="I65" t="str">
            <v>U</v>
          </cell>
          <cell r="J65">
            <v>12</v>
          </cell>
          <cell r="K65">
            <v>458917.69999999995</v>
          </cell>
          <cell r="L65">
            <v>458917.69999999995</v>
          </cell>
          <cell r="M65">
            <v>458917.69999999995</v>
          </cell>
          <cell r="N65">
            <v>458.91769999999997</v>
          </cell>
        </row>
        <row r="66">
          <cell r="G66">
            <v>750000</v>
          </cell>
          <cell r="H66">
            <v>1500000</v>
          </cell>
          <cell r="I66" t="str">
            <v>U</v>
          </cell>
          <cell r="J66">
            <v>11</v>
          </cell>
          <cell r="K66">
            <v>458917.69999999995</v>
          </cell>
          <cell r="L66">
            <v>0</v>
          </cell>
          <cell r="M66">
            <v>0</v>
          </cell>
          <cell r="N66">
            <v>0</v>
          </cell>
        </row>
        <row r="67">
          <cell r="G67">
            <v>1500000</v>
          </cell>
          <cell r="H67">
            <v>2250000</v>
          </cell>
          <cell r="I67" t="str">
            <v>U</v>
          </cell>
          <cell r="J67">
            <v>10</v>
          </cell>
          <cell r="K67">
            <v>458917.69999999995</v>
          </cell>
          <cell r="L67">
            <v>0</v>
          </cell>
          <cell r="M67">
            <v>0</v>
          </cell>
          <cell r="N67">
            <v>0</v>
          </cell>
        </row>
        <row r="68">
          <cell r="G68">
            <v>2250000</v>
          </cell>
          <cell r="H68">
            <v>3000000</v>
          </cell>
          <cell r="I68" t="str">
            <v>U</v>
          </cell>
          <cell r="J68">
            <v>9</v>
          </cell>
          <cell r="K68">
            <v>458917.69999999995</v>
          </cell>
          <cell r="L68">
            <v>0</v>
          </cell>
          <cell r="M68">
            <v>0</v>
          </cell>
          <cell r="N68">
            <v>0</v>
          </cell>
        </row>
        <row r="69">
          <cell r="G69">
            <v>3000000</v>
          </cell>
          <cell r="H69">
            <v>3750000</v>
          </cell>
          <cell r="I69" t="str">
            <v>U</v>
          </cell>
          <cell r="J69">
            <v>8</v>
          </cell>
          <cell r="K69">
            <v>458917.69999999995</v>
          </cell>
          <cell r="L69">
            <v>0</v>
          </cell>
          <cell r="M69">
            <v>0</v>
          </cell>
          <cell r="N69">
            <v>0</v>
          </cell>
        </row>
        <row r="70">
          <cell r="G70">
            <v>3750000</v>
          </cell>
          <cell r="H70">
            <v>99999999</v>
          </cell>
          <cell r="I70" t="str">
            <v>U</v>
          </cell>
          <cell r="J70">
            <v>7</v>
          </cell>
          <cell r="K70">
            <v>458917.69999999995</v>
          </cell>
          <cell r="L70">
            <v>0</v>
          </cell>
          <cell r="M70">
            <v>0</v>
          </cell>
          <cell r="N70">
            <v>0</v>
          </cell>
        </row>
        <row r="71">
          <cell r="G71">
            <v>0</v>
          </cell>
          <cell r="H71">
            <v>1000000</v>
          </cell>
          <cell r="I71" t="str">
            <v>P</v>
          </cell>
          <cell r="J71">
            <v>15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</row>
        <row r="72">
          <cell r="G72">
            <v>1000000</v>
          </cell>
          <cell r="H72">
            <v>2000000</v>
          </cell>
          <cell r="I72" t="str">
            <v>P</v>
          </cell>
          <cell r="J72">
            <v>14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</row>
        <row r="73">
          <cell r="G73">
            <v>2000000</v>
          </cell>
          <cell r="H73">
            <v>3000000</v>
          </cell>
          <cell r="I73" t="str">
            <v>P</v>
          </cell>
          <cell r="J73">
            <v>13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</row>
        <row r="74">
          <cell r="G74">
            <v>3000000</v>
          </cell>
          <cell r="H74">
            <v>4000000</v>
          </cell>
          <cell r="I74" t="str">
            <v>P</v>
          </cell>
          <cell r="J74">
            <v>12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</row>
        <row r="75">
          <cell r="G75">
            <v>4000000</v>
          </cell>
          <cell r="H75">
            <v>5000000</v>
          </cell>
          <cell r="I75" t="str">
            <v>P</v>
          </cell>
          <cell r="J75">
            <v>11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</row>
        <row r="76">
          <cell r="G76">
            <v>5000000</v>
          </cell>
          <cell r="H76">
            <v>99999999</v>
          </cell>
          <cell r="I76" t="str">
            <v>P</v>
          </cell>
          <cell r="J76">
            <v>10</v>
          </cell>
          <cell r="K76" t="e">
            <v>#N/A</v>
          </cell>
          <cell r="L76" t="e">
            <v>#N/A</v>
          </cell>
          <cell r="M76" t="e">
            <v>#N/A</v>
          </cell>
          <cell r="N76" t="e">
            <v>#N/A</v>
          </cell>
        </row>
        <row r="77">
          <cell r="J77">
            <v>15</v>
          </cell>
          <cell r="K77">
            <v>826</v>
          </cell>
          <cell r="L77">
            <v>0</v>
          </cell>
          <cell r="M77">
            <v>0</v>
          </cell>
          <cell r="N77">
            <v>0.82599999999999996</v>
          </cell>
        </row>
        <row r="78">
          <cell r="J78">
            <v>12</v>
          </cell>
          <cell r="K78">
            <v>692725.10000000009</v>
          </cell>
          <cell r="L78">
            <v>0</v>
          </cell>
          <cell r="M78">
            <v>0</v>
          </cell>
          <cell r="N78">
            <v>692.72510000000011</v>
          </cell>
        </row>
        <row r="79">
          <cell r="G79">
            <v>0</v>
          </cell>
          <cell r="H79">
            <v>1000000</v>
          </cell>
          <cell r="I79" t="str">
            <v>P</v>
          </cell>
          <cell r="J79">
            <v>15</v>
          </cell>
          <cell r="K79">
            <v>20463</v>
          </cell>
          <cell r="L79">
            <v>20463</v>
          </cell>
          <cell r="M79">
            <v>20463</v>
          </cell>
          <cell r="N79">
            <v>20.463000000000001</v>
          </cell>
        </row>
        <row r="80">
          <cell r="G80">
            <v>1000000</v>
          </cell>
          <cell r="H80">
            <v>2000000</v>
          </cell>
          <cell r="I80" t="str">
            <v>P</v>
          </cell>
          <cell r="J80">
            <v>14</v>
          </cell>
          <cell r="K80">
            <v>20463</v>
          </cell>
          <cell r="L80">
            <v>0</v>
          </cell>
          <cell r="M80">
            <v>0</v>
          </cell>
          <cell r="N80">
            <v>0</v>
          </cell>
        </row>
        <row r="81">
          <cell r="G81">
            <v>2000000</v>
          </cell>
          <cell r="H81">
            <v>3000000</v>
          </cell>
          <cell r="I81" t="str">
            <v>P</v>
          </cell>
          <cell r="J81">
            <v>13</v>
          </cell>
          <cell r="K81">
            <v>20463</v>
          </cell>
          <cell r="L81">
            <v>0</v>
          </cell>
          <cell r="M81">
            <v>0</v>
          </cell>
          <cell r="N81">
            <v>0</v>
          </cell>
        </row>
        <row r="82">
          <cell r="G82">
            <v>3000000</v>
          </cell>
          <cell r="H82">
            <v>4000000</v>
          </cell>
          <cell r="I82" t="str">
            <v>P</v>
          </cell>
          <cell r="J82">
            <v>12</v>
          </cell>
          <cell r="K82">
            <v>20463</v>
          </cell>
          <cell r="L82">
            <v>0</v>
          </cell>
          <cell r="M82">
            <v>0</v>
          </cell>
          <cell r="N82">
            <v>0</v>
          </cell>
        </row>
        <row r="83">
          <cell r="G83">
            <v>4000000</v>
          </cell>
          <cell r="H83">
            <v>5000000</v>
          </cell>
          <cell r="I83" t="str">
            <v>P</v>
          </cell>
          <cell r="J83">
            <v>11</v>
          </cell>
          <cell r="K83">
            <v>20463</v>
          </cell>
          <cell r="L83">
            <v>0</v>
          </cell>
          <cell r="M83">
            <v>0</v>
          </cell>
          <cell r="N83">
            <v>0</v>
          </cell>
        </row>
        <row r="84">
          <cell r="G84">
            <v>5000000</v>
          </cell>
          <cell r="H84">
            <v>99999999</v>
          </cell>
          <cell r="I84" t="str">
            <v>P</v>
          </cell>
          <cell r="J84">
            <v>10</v>
          </cell>
          <cell r="K84">
            <v>20463</v>
          </cell>
          <cell r="L84">
            <v>0</v>
          </cell>
          <cell r="M84">
            <v>0</v>
          </cell>
          <cell r="N84">
            <v>0</v>
          </cell>
        </row>
        <row r="85">
          <cell r="G85">
            <v>0</v>
          </cell>
          <cell r="H85">
            <v>750000</v>
          </cell>
          <cell r="I85" t="str">
            <v>U</v>
          </cell>
          <cell r="J85">
            <v>12</v>
          </cell>
          <cell r="K85">
            <v>724353.2</v>
          </cell>
          <cell r="L85">
            <v>724353.2</v>
          </cell>
          <cell r="M85">
            <v>724353.2</v>
          </cell>
          <cell r="N85">
            <v>724.3531999999999</v>
          </cell>
        </row>
        <row r="86">
          <cell r="G86">
            <v>750000</v>
          </cell>
          <cell r="H86">
            <v>1500000</v>
          </cell>
          <cell r="I86" t="str">
            <v>U</v>
          </cell>
          <cell r="J86">
            <v>11</v>
          </cell>
          <cell r="K86">
            <v>724353.2</v>
          </cell>
          <cell r="L86">
            <v>0</v>
          </cell>
          <cell r="M86">
            <v>0</v>
          </cell>
          <cell r="N86">
            <v>0</v>
          </cell>
        </row>
        <row r="87">
          <cell r="G87">
            <v>1500000</v>
          </cell>
          <cell r="H87">
            <v>2250000</v>
          </cell>
          <cell r="I87" t="str">
            <v>U</v>
          </cell>
          <cell r="J87">
            <v>10</v>
          </cell>
          <cell r="K87">
            <v>724353.2</v>
          </cell>
          <cell r="L87">
            <v>0</v>
          </cell>
          <cell r="M87">
            <v>0</v>
          </cell>
          <cell r="N87">
            <v>0</v>
          </cell>
        </row>
        <row r="88">
          <cell r="G88">
            <v>2250000</v>
          </cell>
          <cell r="H88">
            <v>3000000</v>
          </cell>
          <cell r="I88" t="str">
            <v>U</v>
          </cell>
          <cell r="J88">
            <v>9</v>
          </cell>
          <cell r="K88">
            <v>724353.2</v>
          </cell>
          <cell r="L88">
            <v>0</v>
          </cell>
          <cell r="M88">
            <v>0</v>
          </cell>
          <cell r="N88">
            <v>0</v>
          </cell>
        </row>
        <row r="89">
          <cell r="G89">
            <v>3000000</v>
          </cell>
          <cell r="H89">
            <v>3750000</v>
          </cell>
          <cell r="I89" t="str">
            <v>U</v>
          </cell>
          <cell r="J89">
            <v>8</v>
          </cell>
          <cell r="K89">
            <v>724353.2</v>
          </cell>
          <cell r="L89">
            <v>0</v>
          </cell>
          <cell r="M89">
            <v>0</v>
          </cell>
          <cell r="N89">
            <v>0</v>
          </cell>
        </row>
        <row r="90">
          <cell r="G90">
            <v>3750000</v>
          </cell>
          <cell r="H90">
            <v>99999999</v>
          </cell>
          <cell r="I90" t="str">
            <v>U</v>
          </cell>
          <cell r="J90">
            <v>7</v>
          </cell>
          <cell r="K90">
            <v>724353.2</v>
          </cell>
          <cell r="L90">
            <v>0</v>
          </cell>
          <cell r="M90">
            <v>0</v>
          </cell>
          <cell r="N90">
            <v>0</v>
          </cell>
        </row>
        <row r="91">
          <cell r="G91">
            <v>0</v>
          </cell>
          <cell r="H91">
            <v>1000000</v>
          </cell>
          <cell r="I91" t="str">
            <v>P</v>
          </cell>
          <cell r="J91">
            <v>13</v>
          </cell>
          <cell r="K91">
            <v>23.3</v>
          </cell>
          <cell r="L91">
            <v>23.3</v>
          </cell>
          <cell r="M91">
            <v>23.3</v>
          </cell>
          <cell r="N91">
            <v>2.3300000000000001E-2</v>
          </cell>
        </row>
        <row r="92">
          <cell r="G92">
            <v>1000000</v>
          </cell>
          <cell r="H92">
            <v>2000000</v>
          </cell>
          <cell r="I92" t="str">
            <v>P</v>
          </cell>
          <cell r="J92">
            <v>12</v>
          </cell>
          <cell r="K92">
            <v>23.3</v>
          </cell>
          <cell r="L92">
            <v>0</v>
          </cell>
          <cell r="M92">
            <v>0</v>
          </cell>
          <cell r="N92">
            <v>0</v>
          </cell>
        </row>
        <row r="93">
          <cell r="G93">
            <v>2000000</v>
          </cell>
          <cell r="H93">
            <v>3000000</v>
          </cell>
          <cell r="I93" t="str">
            <v>P</v>
          </cell>
          <cell r="J93">
            <v>11</v>
          </cell>
          <cell r="K93">
            <v>23.3</v>
          </cell>
          <cell r="L93">
            <v>0</v>
          </cell>
          <cell r="M93">
            <v>0</v>
          </cell>
          <cell r="N93">
            <v>0</v>
          </cell>
        </row>
        <row r="94">
          <cell r="G94">
            <v>3000000</v>
          </cell>
          <cell r="H94">
            <v>4000000</v>
          </cell>
          <cell r="I94" t="str">
            <v>P</v>
          </cell>
          <cell r="J94">
            <v>10</v>
          </cell>
          <cell r="K94">
            <v>23.3</v>
          </cell>
          <cell r="L94">
            <v>0</v>
          </cell>
          <cell r="M94">
            <v>0</v>
          </cell>
          <cell r="N94">
            <v>0</v>
          </cell>
        </row>
        <row r="95">
          <cell r="G95">
            <v>4000000</v>
          </cell>
          <cell r="H95">
            <v>5000000</v>
          </cell>
          <cell r="I95" t="str">
            <v>P</v>
          </cell>
          <cell r="J95">
            <v>9</v>
          </cell>
          <cell r="K95">
            <v>23.3</v>
          </cell>
          <cell r="L95">
            <v>0</v>
          </cell>
          <cell r="M95">
            <v>0</v>
          </cell>
          <cell r="N95">
            <v>0</v>
          </cell>
        </row>
        <row r="96">
          <cell r="G96">
            <v>5000000</v>
          </cell>
          <cell r="H96">
            <v>99999999</v>
          </cell>
          <cell r="I96" t="str">
            <v>P</v>
          </cell>
          <cell r="J96">
            <v>8</v>
          </cell>
          <cell r="K96">
            <v>23.3</v>
          </cell>
          <cell r="L96">
            <v>0</v>
          </cell>
          <cell r="M96">
            <v>0</v>
          </cell>
          <cell r="N96">
            <v>0</v>
          </cell>
        </row>
        <row r="97">
          <cell r="G97">
            <v>0</v>
          </cell>
          <cell r="H97">
            <v>1000000</v>
          </cell>
          <cell r="I97" t="str">
            <v>P</v>
          </cell>
          <cell r="J97">
            <v>15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</row>
        <row r="98">
          <cell r="G98">
            <v>1000000</v>
          </cell>
          <cell r="H98">
            <v>2000000</v>
          </cell>
          <cell r="I98" t="str">
            <v>P</v>
          </cell>
          <cell r="J98">
            <v>14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</row>
        <row r="99">
          <cell r="G99">
            <v>2000000</v>
          </cell>
          <cell r="H99">
            <v>3000000</v>
          </cell>
          <cell r="I99" t="str">
            <v>P</v>
          </cell>
          <cell r="J99">
            <v>13</v>
          </cell>
          <cell r="K99" t="e">
            <v>#N/A</v>
          </cell>
          <cell r="L99" t="e">
            <v>#N/A</v>
          </cell>
          <cell r="M99" t="e">
            <v>#N/A</v>
          </cell>
          <cell r="N99" t="e">
            <v>#N/A</v>
          </cell>
        </row>
        <row r="100">
          <cell r="G100">
            <v>3000000</v>
          </cell>
          <cell r="H100">
            <v>4000000</v>
          </cell>
          <cell r="I100" t="str">
            <v>P</v>
          </cell>
          <cell r="J100">
            <v>12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</row>
        <row r="101">
          <cell r="G101">
            <v>4000000</v>
          </cell>
          <cell r="H101">
            <v>5000000</v>
          </cell>
          <cell r="I101" t="str">
            <v>P</v>
          </cell>
          <cell r="J101">
            <v>11</v>
          </cell>
          <cell r="K101" t="e">
            <v>#N/A</v>
          </cell>
          <cell r="L101" t="e">
            <v>#N/A</v>
          </cell>
          <cell r="M101" t="e">
            <v>#N/A</v>
          </cell>
          <cell r="N101" t="e">
            <v>#N/A</v>
          </cell>
        </row>
        <row r="102">
          <cell r="G102">
            <v>5000000</v>
          </cell>
          <cell r="H102">
            <v>99999999</v>
          </cell>
          <cell r="I102" t="str">
            <v>P</v>
          </cell>
          <cell r="J102">
            <v>10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</row>
        <row r="103">
          <cell r="G103">
            <v>0</v>
          </cell>
          <cell r="H103">
            <v>1000000</v>
          </cell>
          <cell r="I103" t="str">
            <v>P</v>
          </cell>
          <cell r="J103">
            <v>15</v>
          </cell>
          <cell r="K103">
            <v>441745.96347999992</v>
          </cell>
          <cell r="L103">
            <v>441745.96347999992</v>
          </cell>
          <cell r="M103">
            <v>441745.96347999992</v>
          </cell>
          <cell r="N103">
            <v>441.74596347999994</v>
          </cell>
        </row>
        <row r="104">
          <cell r="G104">
            <v>1000000</v>
          </cell>
          <cell r="H104">
            <v>2000000</v>
          </cell>
          <cell r="I104" t="str">
            <v>P</v>
          </cell>
          <cell r="J104">
            <v>14</v>
          </cell>
          <cell r="K104">
            <v>441745.96347999992</v>
          </cell>
          <cell r="L104">
            <v>0</v>
          </cell>
          <cell r="M104">
            <v>0</v>
          </cell>
          <cell r="N104">
            <v>0</v>
          </cell>
        </row>
        <row r="105">
          <cell r="G105">
            <v>2000000</v>
          </cell>
          <cell r="H105">
            <v>3000000</v>
          </cell>
          <cell r="I105" t="str">
            <v>P</v>
          </cell>
          <cell r="J105">
            <v>13</v>
          </cell>
          <cell r="K105">
            <v>441745.96347999992</v>
          </cell>
          <cell r="L105">
            <v>0</v>
          </cell>
          <cell r="M105">
            <v>0</v>
          </cell>
          <cell r="N105">
            <v>0</v>
          </cell>
        </row>
        <row r="106">
          <cell r="G106">
            <v>3000000</v>
          </cell>
          <cell r="H106">
            <v>4000000</v>
          </cell>
          <cell r="I106" t="str">
            <v>P</v>
          </cell>
          <cell r="J106">
            <v>12</v>
          </cell>
          <cell r="K106">
            <v>441745.96347999992</v>
          </cell>
          <cell r="L106">
            <v>0</v>
          </cell>
          <cell r="M106">
            <v>0</v>
          </cell>
          <cell r="N106">
            <v>0</v>
          </cell>
        </row>
        <row r="107">
          <cell r="G107">
            <v>4000000</v>
          </cell>
          <cell r="H107">
            <v>5000000</v>
          </cell>
          <cell r="I107" t="str">
            <v>P</v>
          </cell>
          <cell r="J107">
            <v>11</v>
          </cell>
          <cell r="K107">
            <v>441745.96347999992</v>
          </cell>
          <cell r="L107">
            <v>0</v>
          </cell>
          <cell r="M107">
            <v>0</v>
          </cell>
          <cell r="N107">
            <v>0</v>
          </cell>
        </row>
        <row r="108">
          <cell r="G108">
            <v>5000000</v>
          </cell>
          <cell r="H108">
            <v>99999999</v>
          </cell>
          <cell r="I108" t="str">
            <v>P</v>
          </cell>
          <cell r="J108">
            <v>10</v>
          </cell>
          <cell r="K108">
            <v>441745.96347999992</v>
          </cell>
          <cell r="L108">
            <v>0</v>
          </cell>
          <cell r="M108">
            <v>0</v>
          </cell>
          <cell r="N108">
            <v>0</v>
          </cell>
        </row>
        <row r="109">
          <cell r="G109">
            <v>0</v>
          </cell>
          <cell r="H109">
            <v>1000000</v>
          </cell>
          <cell r="I109" t="str">
            <v>P</v>
          </cell>
          <cell r="J109">
            <v>15</v>
          </cell>
          <cell r="K109">
            <v>7567.8</v>
          </cell>
          <cell r="L109">
            <v>7567.8</v>
          </cell>
          <cell r="M109">
            <v>7567.8</v>
          </cell>
          <cell r="N109">
            <v>7.5678000000000001</v>
          </cell>
        </row>
        <row r="110">
          <cell r="G110">
            <v>1000000</v>
          </cell>
          <cell r="H110">
            <v>2000000</v>
          </cell>
          <cell r="I110" t="str">
            <v>P</v>
          </cell>
          <cell r="J110">
            <v>14</v>
          </cell>
          <cell r="K110">
            <v>7567.8</v>
          </cell>
          <cell r="L110">
            <v>0</v>
          </cell>
          <cell r="M110">
            <v>0</v>
          </cell>
          <cell r="N110">
            <v>0</v>
          </cell>
        </row>
        <row r="111">
          <cell r="G111">
            <v>2000000</v>
          </cell>
          <cell r="H111">
            <v>3000000</v>
          </cell>
          <cell r="I111" t="str">
            <v>P</v>
          </cell>
          <cell r="J111">
            <v>13</v>
          </cell>
          <cell r="K111">
            <v>7567.8</v>
          </cell>
          <cell r="L111">
            <v>0</v>
          </cell>
          <cell r="M111">
            <v>0</v>
          </cell>
          <cell r="N111">
            <v>0</v>
          </cell>
        </row>
        <row r="112">
          <cell r="G112">
            <v>3000000</v>
          </cell>
          <cell r="H112">
            <v>4000000</v>
          </cell>
          <cell r="I112" t="str">
            <v>P</v>
          </cell>
          <cell r="J112">
            <v>12</v>
          </cell>
          <cell r="K112">
            <v>7567.8</v>
          </cell>
          <cell r="L112">
            <v>0</v>
          </cell>
          <cell r="M112">
            <v>0</v>
          </cell>
          <cell r="N112">
            <v>0</v>
          </cell>
        </row>
        <row r="113">
          <cell r="G113">
            <v>4000000</v>
          </cell>
          <cell r="H113">
            <v>5000000</v>
          </cell>
          <cell r="I113" t="str">
            <v>P</v>
          </cell>
          <cell r="J113">
            <v>11</v>
          </cell>
          <cell r="K113">
            <v>7567.8</v>
          </cell>
          <cell r="L113">
            <v>0</v>
          </cell>
          <cell r="M113">
            <v>0</v>
          </cell>
          <cell r="N113">
            <v>0</v>
          </cell>
        </row>
        <row r="114">
          <cell r="G114">
            <v>5000000</v>
          </cell>
          <cell r="H114">
            <v>99999999</v>
          </cell>
          <cell r="I114" t="str">
            <v>P</v>
          </cell>
          <cell r="J114">
            <v>10</v>
          </cell>
          <cell r="K114">
            <v>7567.8</v>
          </cell>
          <cell r="L114">
            <v>0</v>
          </cell>
          <cell r="M114">
            <v>0</v>
          </cell>
          <cell r="N114">
            <v>0</v>
          </cell>
        </row>
        <row r="115">
          <cell r="G115">
            <v>0</v>
          </cell>
          <cell r="H115">
            <v>1000000</v>
          </cell>
          <cell r="I115" t="str">
            <v>P</v>
          </cell>
          <cell r="J115">
            <v>15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G116">
            <v>1000000</v>
          </cell>
          <cell r="H116">
            <v>2000000</v>
          </cell>
          <cell r="I116" t="str">
            <v>P</v>
          </cell>
          <cell r="J116">
            <v>14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G117">
            <v>2000000</v>
          </cell>
          <cell r="H117">
            <v>3000000</v>
          </cell>
          <cell r="I117" t="str">
            <v>P</v>
          </cell>
          <cell r="J117">
            <v>13</v>
          </cell>
          <cell r="K117" t="e">
            <v>#N/A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G118">
            <v>3000000</v>
          </cell>
          <cell r="H118">
            <v>4000000</v>
          </cell>
          <cell r="I118" t="str">
            <v>P</v>
          </cell>
          <cell r="J118">
            <v>12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G119">
            <v>4000000</v>
          </cell>
          <cell r="H119">
            <v>5000000</v>
          </cell>
          <cell r="I119" t="str">
            <v>P</v>
          </cell>
          <cell r="J119">
            <v>11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G120">
            <v>5000000</v>
          </cell>
          <cell r="H120">
            <v>99999999</v>
          </cell>
          <cell r="I120" t="str">
            <v>P</v>
          </cell>
          <cell r="J120">
            <v>10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G121">
            <v>0</v>
          </cell>
          <cell r="H121">
            <v>1000000</v>
          </cell>
          <cell r="I121" t="str">
            <v>P</v>
          </cell>
          <cell r="J121">
            <v>12</v>
          </cell>
          <cell r="K121">
            <v>3003335.0190000003</v>
          </cell>
          <cell r="L121">
            <v>1000000</v>
          </cell>
          <cell r="M121">
            <v>0</v>
          </cell>
          <cell r="N121">
            <v>1000</v>
          </cell>
        </row>
        <row r="122">
          <cell r="G122">
            <v>1000000</v>
          </cell>
          <cell r="H122">
            <v>2000000</v>
          </cell>
          <cell r="I122" t="str">
            <v>P</v>
          </cell>
          <cell r="J122">
            <v>11</v>
          </cell>
          <cell r="K122">
            <v>3003335.0190000003</v>
          </cell>
          <cell r="L122">
            <v>1000000</v>
          </cell>
          <cell r="M122">
            <v>0</v>
          </cell>
          <cell r="N122">
            <v>1000</v>
          </cell>
        </row>
        <row r="123">
          <cell r="G123">
            <v>2000000</v>
          </cell>
          <cell r="H123">
            <v>99999999</v>
          </cell>
          <cell r="I123" t="str">
            <v>P</v>
          </cell>
          <cell r="J123">
            <v>10</v>
          </cell>
          <cell r="K123">
            <v>3003335.0190000003</v>
          </cell>
          <cell r="L123">
            <v>1003335.0190000003</v>
          </cell>
          <cell r="M123">
            <v>3003335.0190000003</v>
          </cell>
          <cell r="N123">
            <v>1003.3350190000003</v>
          </cell>
        </row>
        <row r="124">
          <cell r="J124">
            <v>15</v>
          </cell>
          <cell r="K124">
            <v>185769.93047000002</v>
          </cell>
          <cell r="L124">
            <v>0</v>
          </cell>
          <cell r="M124">
            <v>0</v>
          </cell>
          <cell r="N124">
            <v>185.76993047000002</v>
          </cell>
        </row>
        <row r="125">
          <cell r="G125">
            <v>0</v>
          </cell>
          <cell r="H125">
            <v>1000000</v>
          </cell>
          <cell r="I125" t="str">
            <v>P</v>
          </cell>
          <cell r="J125">
            <v>15</v>
          </cell>
          <cell r="K125">
            <v>58.7</v>
          </cell>
          <cell r="L125">
            <v>58.7</v>
          </cell>
          <cell r="M125">
            <v>58.7</v>
          </cell>
          <cell r="N125">
            <v>5.8700000000000002E-2</v>
          </cell>
        </row>
        <row r="126">
          <cell r="G126">
            <v>1000000</v>
          </cell>
          <cell r="H126">
            <v>2000000</v>
          </cell>
          <cell r="I126" t="str">
            <v>P</v>
          </cell>
          <cell r="J126">
            <v>14</v>
          </cell>
          <cell r="K126">
            <v>58.7</v>
          </cell>
          <cell r="L126">
            <v>0</v>
          </cell>
          <cell r="M126">
            <v>0</v>
          </cell>
          <cell r="N126">
            <v>0</v>
          </cell>
        </row>
        <row r="127">
          <cell r="G127">
            <v>2000000</v>
          </cell>
          <cell r="H127">
            <v>3000000</v>
          </cell>
          <cell r="I127" t="str">
            <v>P</v>
          </cell>
          <cell r="J127">
            <v>13</v>
          </cell>
          <cell r="K127">
            <v>58.7</v>
          </cell>
          <cell r="L127">
            <v>0</v>
          </cell>
          <cell r="M127">
            <v>0</v>
          </cell>
          <cell r="N127">
            <v>0</v>
          </cell>
        </row>
        <row r="128">
          <cell r="G128">
            <v>3000000</v>
          </cell>
          <cell r="H128">
            <v>4000000</v>
          </cell>
          <cell r="I128" t="str">
            <v>P</v>
          </cell>
          <cell r="J128">
            <v>12</v>
          </cell>
          <cell r="K128">
            <v>58.7</v>
          </cell>
          <cell r="L128">
            <v>0</v>
          </cell>
          <cell r="M128">
            <v>0</v>
          </cell>
          <cell r="N128">
            <v>0</v>
          </cell>
        </row>
        <row r="129">
          <cell r="G129">
            <v>4000000</v>
          </cell>
          <cell r="H129">
            <v>5000000</v>
          </cell>
          <cell r="I129" t="str">
            <v>P</v>
          </cell>
          <cell r="J129">
            <v>11</v>
          </cell>
          <cell r="K129">
            <v>58.7</v>
          </cell>
          <cell r="L129">
            <v>0</v>
          </cell>
          <cell r="M129">
            <v>0</v>
          </cell>
          <cell r="N129">
            <v>0</v>
          </cell>
        </row>
        <row r="130">
          <cell r="G130">
            <v>5000000</v>
          </cell>
          <cell r="H130">
            <v>99999999</v>
          </cell>
          <cell r="I130" t="str">
            <v>P</v>
          </cell>
          <cell r="J130">
            <v>10</v>
          </cell>
          <cell r="K130">
            <v>58.7</v>
          </cell>
          <cell r="L130">
            <v>0</v>
          </cell>
          <cell r="M130">
            <v>0</v>
          </cell>
          <cell r="N130">
            <v>0</v>
          </cell>
        </row>
        <row r="131">
          <cell r="G131">
            <v>0</v>
          </cell>
          <cell r="H131">
            <v>1000000</v>
          </cell>
          <cell r="I131" t="str">
            <v>P</v>
          </cell>
          <cell r="J131">
            <v>15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G132">
            <v>1000000</v>
          </cell>
          <cell r="H132">
            <v>2000000</v>
          </cell>
          <cell r="I132" t="str">
            <v>P</v>
          </cell>
          <cell r="J132">
            <v>14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G133">
            <v>2000000</v>
          </cell>
          <cell r="H133">
            <v>3000000</v>
          </cell>
          <cell r="I133" t="str">
            <v>P</v>
          </cell>
          <cell r="J133">
            <v>13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G134">
            <v>3000000</v>
          </cell>
          <cell r="H134">
            <v>4000000</v>
          </cell>
          <cell r="I134" t="str">
            <v>P</v>
          </cell>
          <cell r="J134">
            <v>12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G135">
            <v>4000000</v>
          </cell>
          <cell r="H135">
            <v>5000000</v>
          </cell>
          <cell r="I135" t="str">
            <v>P</v>
          </cell>
          <cell r="J135">
            <v>11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G136">
            <v>5000000</v>
          </cell>
          <cell r="H136">
            <v>99999999</v>
          </cell>
          <cell r="I136" t="str">
            <v>P</v>
          </cell>
          <cell r="J136">
            <v>10</v>
          </cell>
          <cell r="K136" t="e">
            <v>#N/A</v>
          </cell>
          <cell r="L136" t="e">
            <v>#N/A</v>
          </cell>
          <cell r="M136" t="e">
            <v>#N/A</v>
          </cell>
          <cell r="N136" t="e">
            <v>#N/A</v>
          </cell>
        </row>
        <row r="137">
          <cell r="J137">
            <v>10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</row>
        <row r="138">
          <cell r="G138">
            <v>0</v>
          </cell>
          <cell r="H138">
            <v>1000000</v>
          </cell>
          <cell r="I138" t="str">
            <v>P</v>
          </cell>
          <cell r="J138">
            <v>15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G139">
            <v>1000000</v>
          </cell>
          <cell r="H139">
            <v>2000000</v>
          </cell>
          <cell r="I139" t="str">
            <v>P</v>
          </cell>
          <cell r="J139">
            <v>14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G140">
            <v>2000000</v>
          </cell>
          <cell r="H140">
            <v>3000000</v>
          </cell>
          <cell r="I140" t="str">
            <v>P</v>
          </cell>
          <cell r="J140">
            <v>13</v>
          </cell>
          <cell r="K140" t="e">
            <v>#N/A</v>
          </cell>
          <cell r="L140" t="e">
            <v>#N/A</v>
          </cell>
          <cell r="M140" t="e">
            <v>#N/A</v>
          </cell>
          <cell r="N140" t="e">
            <v>#N/A</v>
          </cell>
        </row>
        <row r="141">
          <cell r="G141">
            <v>3000000</v>
          </cell>
          <cell r="H141">
            <v>4000000</v>
          </cell>
          <cell r="I141" t="str">
            <v>P</v>
          </cell>
          <cell r="J141">
            <v>12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</row>
        <row r="142">
          <cell r="G142">
            <v>4000000</v>
          </cell>
          <cell r="H142">
            <v>5000000</v>
          </cell>
          <cell r="I142" t="str">
            <v>P</v>
          </cell>
          <cell r="J142">
            <v>11</v>
          </cell>
          <cell r="K142" t="e">
            <v>#N/A</v>
          </cell>
          <cell r="L142" t="e">
            <v>#N/A</v>
          </cell>
          <cell r="M142" t="e">
            <v>#N/A</v>
          </cell>
          <cell r="N142" t="e">
            <v>#N/A</v>
          </cell>
        </row>
        <row r="143">
          <cell r="G143">
            <v>5000000</v>
          </cell>
          <cell r="H143">
            <v>99999999</v>
          </cell>
          <cell r="I143" t="str">
            <v>P</v>
          </cell>
          <cell r="J143">
            <v>10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</row>
        <row r="144">
          <cell r="G144">
            <v>0</v>
          </cell>
          <cell r="H144">
            <v>1000000</v>
          </cell>
          <cell r="I144" t="str">
            <v>P</v>
          </cell>
          <cell r="J144">
            <v>15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G145">
            <v>1000000</v>
          </cell>
          <cell r="H145">
            <v>2000000</v>
          </cell>
          <cell r="I145" t="str">
            <v>P</v>
          </cell>
          <cell r="J145">
            <v>14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G146">
            <v>2000000</v>
          </cell>
          <cell r="H146">
            <v>3000000</v>
          </cell>
          <cell r="I146" t="str">
            <v>P</v>
          </cell>
          <cell r="J146">
            <v>13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G147">
            <v>3000000</v>
          </cell>
          <cell r="H147">
            <v>4000000</v>
          </cell>
          <cell r="I147" t="str">
            <v>P</v>
          </cell>
          <cell r="J147">
            <v>12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G148">
            <v>4000000</v>
          </cell>
          <cell r="H148">
            <v>5000000</v>
          </cell>
          <cell r="I148" t="str">
            <v>P</v>
          </cell>
          <cell r="J148">
            <v>11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G149">
            <v>5000000</v>
          </cell>
          <cell r="H149">
            <v>99999999</v>
          </cell>
          <cell r="I149" t="str">
            <v>P</v>
          </cell>
          <cell r="J149">
            <v>10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G150">
            <v>0</v>
          </cell>
          <cell r="H150">
            <v>1000000</v>
          </cell>
          <cell r="I150" t="str">
            <v>P</v>
          </cell>
          <cell r="J150">
            <v>15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G151">
            <v>1000000</v>
          </cell>
          <cell r="H151">
            <v>2000000</v>
          </cell>
          <cell r="I151" t="str">
            <v>P</v>
          </cell>
          <cell r="J151">
            <v>14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G152">
            <v>2000000</v>
          </cell>
          <cell r="H152">
            <v>3000000</v>
          </cell>
          <cell r="I152" t="str">
            <v>P</v>
          </cell>
          <cell r="J152">
            <v>13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G153">
            <v>3000000</v>
          </cell>
          <cell r="H153">
            <v>4000000</v>
          </cell>
          <cell r="I153" t="str">
            <v>P</v>
          </cell>
          <cell r="J153">
            <v>12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G154">
            <v>4000000</v>
          </cell>
          <cell r="H154">
            <v>5000000</v>
          </cell>
          <cell r="I154" t="str">
            <v>P</v>
          </cell>
          <cell r="J154">
            <v>11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G155">
            <v>5000000</v>
          </cell>
          <cell r="H155">
            <v>99999999</v>
          </cell>
          <cell r="I155" t="str">
            <v>P</v>
          </cell>
          <cell r="J155">
            <v>10</v>
          </cell>
          <cell r="K155" t="e">
            <v>#N/A</v>
          </cell>
          <cell r="L155" t="e">
            <v>#N/A</v>
          </cell>
          <cell r="M155" t="e">
            <v>#N/A</v>
          </cell>
          <cell r="N155" t="e">
            <v>#N/A</v>
          </cell>
        </row>
        <row r="156">
          <cell r="G156">
            <v>0</v>
          </cell>
          <cell r="H156">
            <v>1000000</v>
          </cell>
          <cell r="I156" t="str">
            <v>P</v>
          </cell>
          <cell r="J156">
            <v>15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</row>
        <row r="157">
          <cell r="G157">
            <v>1000000</v>
          </cell>
          <cell r="H157">
            <v>2000000</v>
          </cell>
          <cell r="I157" t="str">
            <v>P</v>
          </cell>
          <cell r="J157">
            <v>14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G158">
            <v>2000000</v>
          </cell>
          <cell r="H158">
            <v>3000000</v>
          </cell>
          <cell r="I158" t="str">
            <v>P</v>
          </cell>
          <cell r="J158">
            <v>13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G159">
            <v>3000000</v>
          </cell>
          <cell r="H159">
            <v>4000000</v>
          </cell>
          <cell r="I159" t="str">
            <v>P</v>
          </cell>
          <cell r="J159">
            <v>12</v>
          </cell>
          <cell r="K159" t="e">
            <v>#N/A</v>
          </cell>
          <cell r="L159" t="e">
            <v>#N/A</v>
          </cell>
          <cell r="M159" t="e">
            <v>#N/A</v>
          </cell>
          <cell r="N159" t="e">
            <v>#N/A</v>
          </cell>
        </row>
        <row r="160">
          <cell r="G160">
            <v>4000000</v>
          </cell>
          <cell r="H160">
            <v>5000000</v>
          </cell>
          <cell r="I160" t="str">
            <v>P</v>
          </cell>
          <cell r="J160">
            <v>11</v>
          </cell>
          <cell r="K160" t="e">
            <v>#N/A</v>
          </cell>
          <cell r="L160" t="e">
            <v>#N/A</v>
          </cell>
          <cell r="M160" t="e">
            <v>#N/A</v>
          </cell>
          <cell r="N160" t="e">
            <v>#N/A</v>
          </cell>
        </row>
        <row r="161">
          <cell r="G161">
            <v>5000000</v>
          </cell>
          <cell r="H161">
            <v>99999999</v>
          </cell>
          <cell r="I161" t="str">
            <v>P</v>
          </cell>
          <cell r="J161">
            <v>10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</row>
        <row r="162">
          <cell r="G162">
            <v>0</v>
          </cell>
          <cell r="H162">
            <v>1000000</v>
          </cell>
          <cell r="I162" t="str">
            <v>P</v>
          </cell>
          <cell r="J162">
            <v>14</v>
          </cell>
          <cell r="K162" t="e">
            <v>#N/A</v>
          </cell>
          <cell r="L162" t="e">
            <v>#N/A</v>
          </cell>
          <cell r="M162" t="e">
            <v>#N/A</v>
          </cell>
          <cell r="N162" t="e">
            <v>#N/A</v>
          </cell>
        </row>
        <row r="163">
          <cell r="G163">
            <v>1000000</v>
          </cell>
          <cell r="H163">
            <v>2000000</v>
          </cell>
          <cell r="I163" t="str">
            <v>P</v>
          </cell>
          <cell r="J163">
            <v>13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</row>
        <row r="164">
          <cell r="G164">
            <v>2000000</v>
          </cell>
          <cell r="H164">
            <v>3000000</v>
          </cell>
          <cell r="I164" t="str">
            <v>P</v>
          </cell>
          <cell r="J164">
            <v>12</v>
          </cell>
          <cell r="K164" t="e">
            <v>#N/A</v>
          </cell>
          <cell r="L164" t="e">
            <v>#N/A</v>
          </cell>
          <cell r="M164" t="e">
            <v>#N/A</v>
          </cell>
          <cell r="N164" t="e">
            <v>#N/A</v>
          </cell>
        </row>
        <row r="165">
          <cell r="G165">
            <v>3000000</v>
          </cell>
          <cell r="H165">
            <v>4000000</v>
          </cell>
          <cell r="I165" t="str">
            <v>P</v>
          </cell>
          <cell r="J165">
            <v>11</v>
          </cell>
          <cell r="K165" t="e">
            <v>#N/A</v>
          </cell>
          <cell r="L165" t="e">
            <v>#N/A</v>
          </cell>
          <cell r="M165" t="e">
            <v>#N/A</v>
          </cell>
          <cell r="N165" t="e">
            <v>#N/A</v>
          </cell>
        </row>
        <row r="166">
          <cell r="G166">
            <v>4000000</v>
          </cell>
          <cell r="H166">
            <v>5000000</v>
          </cell>
          <cell r="I166" t="str">
            <v>P</v>
          </cell>
          <cell r="J166">
            <v>10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</row>
        <row r="167">
          <cell r="G167">
            <v>5000000</v>
          </cell>
          <cell r="H167">
            <v>99999999</v>
          </cell>
          <cell r="I167" t="str">
            <v>P</v>
          </cell>
          <cell r="J167">
            <v>9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</row>
        <row r="168">
          <cell r="J168">
            <v>15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</row>
        <row r="169">
          <cell r="J169">
            <v>15</v>
          </cell>
          <cell r="K169" t="e">
            <v>#N/A</v>
          </cell>
          <cell r="L169" t="e">
            <v>#N/A</v>
          </cell>
          <cell r="M169" t="e">
            <v>#N/A</v>
          </cell>
          <cell r="N169" t="e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R@D" TargetMode="External"/><Relationship Id="rId2" Type="http://schemas.openxmlformats.org/officeDocument/2006/relationships/hyperlink" Target="mailto:R@D" TargetMode="External"/><Relationship Id="rId1" Type="http://schemas.openxmlformats.org/officeDocument/2006/relationships/hyperlink" Target="mailto:R@D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R@D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ED4713"/>
  </sheetPr>
  <dimension ref="A4:S32"/>
  <sheetViews>
    <sheetView tabSelected="1" workbookViewId="0">
      <selection activeCell="H25" sqref="H25:H26"/>
    </sheetView>
  </sheetViews>
  <sheetFormatPr defaultRowHeight="12.75"/>
  <cols>
    <col min="1" max="6" width="15.140625" customWidth="1"/>
    <col min="7" max="7" width="5.42578125" style="746" customWidth="1"/>
  </cols>
  <sheetData>
    <row r="4" spans="1:19" ht="14.25">
      <c r="A4" s="504"/>
    </row>
    <row r="5" spans="1:19" ht="15">
      <c r="A5" s="504"/>
      <c r="D5" s="592" t="s">
        <v>473</v>
      </c>
    </row>
    <row r="7" spans="1:19" ht="14.25">
      <c r="A7" s="504"/>
      <c r="S7" t="s">
        <v>174</v>
      </c>
    </row>
    <row r="8" spans="1:19" ht="15">
      <c r="D8" s="593" t="s">
        <v>425</v>
      </c>
      <c r="F8" t="s">
        <v>424</v>
      </c>
      <c r="G8" s="747">
        <v>1</v>
      </c>
    </row>
    <row r="9" spans="1:19" ht="14.25">
      <c r="A9" s="504"/>
      <c r="D9" s="593" t="s">
        <v>426</v>
      </c>
    </row>
    <row r="10" spans="1:19" ht="14.25">
      <c r="A10" s="504"/>
      <c r="D10" s="593" t="s">
        <v>450</v>
      </c>
    </row>
    <row r="11" spans="1:19" ht="14.25">
      <c r="A11" s="504"/>
      <c r="D11" s="593" t="s">
        <v>2</v>
      </c>
    </row>
    <row r="12" spans="1:19" ht="14.25">
      <c r="A12" s="504"/>
      <c r="D12" s="593" t="s">
        <v>467</v>
      </c>
    </row>
    <row r="13" spans="1:19" ht="14.25">
      <c r="A13" s="504"/>
      <c r="F13" t="s">
        <v>458</v>
      </c>
      <c r="G13" s="746">
        <v>2</v>
      </c>
    </row>
    <row r="14" spans="1:19" ht="14.25">
      <c r="A14" s="504"/>
      <c r="F14" t="s">
        <v>468</v>
      </c>
      <c r="G14" s="746">
        <v>3</v>
      </c>
    </row>
    <row r="15" spans="1:19" ht="14.25">
      <c r="A15" s="504"/>
      <c r="F15" t="s">
        <v>472</v>
      </c>
      <c r="G15" s="746">
        <v>4</v>
      </c>
    </row>
    <row r="16" spans="1:19" ht="14.25">
      <c r="A16" s="504"/>
      <c r="F16" t="s">
        <v>470</v>
      </c>
      <c r="G16" s="832">
        <v>5</v>
      </c>
    </row>
    <row r="17" spans="1:7" ht="14.25">
      <c r="A17" s="504"/>
      <c r="F17" t="s">
        <v>471</v>
      </c>
      <c r="G17" s="832">
        <v>6</v>
      </c>
    </row>
    <row r="18" spans="1:7" ht="14.25">
      <c r="A18" s="504"/>
      <c r="F18" t="s">
        <v>475</v>
      </c>
      <c r="G18" s="832">
        <v>7</v>
      </c>
    </row>
    <row r="19" spans="1:7" ht="14.25">
      <c r="A19" s="504"/>
      <c r="F19" t="s">
        <v>469</v>
      </c>
      <c r="G19" s="832">
        <v>8</v>
      </c>
    </row>
    <row r="20" spans="1:7" ht="14.25">
      <c r="A20" s="504"/>
    </row>
    <row r="21" spans="1:7" ht="14.25">
      <c r="A21" s="504"/>
    </row>
    <row r="22" spans="1:7" ht="14.25">
      <c r="A22" s="504"/>
    </row>
    <row r="23" spans="1:7" ht="14.25">
      <c r="A23" s="504"/>
    </row>
    <row r="24" spans="1:7" ht="14.25">
      <c r="A24" s="504"/>
    </row>
    <row r="25" spans="1:7" ht="14.25">
      <c r="A25" s="504"/>
    </row>
    <row r="26" spans="1:7" ht="14.25">
      <c r="A26" s="504"/>
    </row>
    <row r="27" spans="1:7" ht="14.25">
      <c r="A27" s="504"/>
    </row>
    <row r="28" spans="1:7" ht="14.25">
      <c r="A28" s="504"/>
    </row>
    <row r="29" spans="1:7" ht="14.25">
      <c r="A29" s="504"/>
    </row>
    <row r="30" spans="1:7" ht="14.25">
      <c r="A30" s="504"/>
    </row>
    <row r="31" spans="1:7" ht="14.25">
      <c r="A31" s="504"/>
    </row>
    <row r="32" spans="1:7" ht="14.25">
      <c r="A32" s="504"/>
    </row>
  </sheetData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D4713"/>
  </sheetPr>
  <dimension ref="A1:J10"/>
  <sheetViews>
    <sheetView workbookViewId="0">
      <selection activeCell="D1" sqref="D1"/>
    </sheetView>
  </sheetViews>
  <sheetFormatPr defaultRowHeight="12.75"/>
  <cols>
    <col min="1" max="1" width="3.5703125" style="488" customWidth="1"/>
    <col min="2" max="2" width="12.140625" customWidth="1"/>
    <col min="3" max="3" width="8.28515625" customWidth="1"/>
    <col min="4" max="4" width="15.42578125" customWidth="1"/>
    <col min="5" max="5" width="15.5703125" bestFit="1" customWidth="1"/>
    <col min="6" max="9" width="11.140625" customWidth="1"/>
  </cols>
  <sheetData>
    <row r="1" spans="1:10" ht="18">
      <c r="D1" s="487" t="str">
        <f>+Parameters!B7</f>
        <v>ABC Startup</v>
      </c>
    </row>
    <row r="2" spans="1:10" s="483" customFormat="1" ht="18">
      <c r="D2" s="487" t="s">
        <v>449</v>
      </c>
    </row>
    <row r="4" spans="1:10" s="489" customFormat="1" ht="19.5" customHeight="1">
      <c r="A4" s="503">
        <v>1</v>
      </c>
      <c r="B4" s="504" t="s">
        <v>459</v>
      </c>
      <c r="C4" s="504"/>
      <c r="E4" s="748">
        <f>+'Cash Flow'!U6</f>
        <v>1700000</v>
      </c>
      <c r="F4" s="504"/>
      <c r="G4" s="504"/>
      <c r="H4" s="504"/>
      <c r="I4" s="504"/>
      <c r="J4" s="504"/>
    </row>
    <row r="5" spans="1:10" s="489" customFormat="1" ht="19.5" customHeight="1">
      <c r="A5" s="503">
        <v>2</v>
      </c>
      <c r="B5" s="504" t="s">
        <v>474</v>
      </c>
      <c r="C5" s="504"/>
      <c r="D5" s="505"/>
      <c r="E5" s="748">
        <f>+Sales!S34</f>
        <v>617400</v>
      </c>
      <c r="F5" s="504"/>
      <c r="G5" s="504"/>
      <c r="H5" s="504"/>
      <c r="I5" s="504"/>
      <c r="J5" s="504"/>
    </row>
    <row r="6" spans="1:10" ht="14.25">
      <c r="A6" s="503">
        <v>3</v>
      </c>
      <c r="B6" t="s">
        <v>476</v>
      </c>
    </row>
    <row r="7" spans="1:10" ht="14.25">
      <c r="A7" s="503">
        <v>4</v>
      </c>
      <c r="B7" t="s">
        <v>477</v>
      </c>
    </row>
    <row r="8" spans="1:10" ht="14.25">
      <c r="A8" s="503">
        <v>5</v>
      </c>
      <c r="B8" t="s">
        <v>478</v>
      </c>
    </row>
    <row r="9" spans="1:10" ht="14.25">
      <c r="A9" s="503"/>
    </row>
    <row r="10" spans="1:10" ht="14.25">
      <c r="A10" s="50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50"/>
    <pageSetUpPr fitToPage="1"/>
  </sheetPr>
  <dimension ref="A1:O328"/>
  <sheetViews>
    <sheetView workbookViewId="0">
      <selection activeCell="D36" sqref="D36"/>
    </sheetView>
  </sheetViews>
  <sheetFormatPr defaultColWidth="9.140625" defaultRowHeight="12.75"/>
  <cols>
    <col min="1" max="1" width="4.7109375" style="101" customWidth="1"/>
    <col min="2" max="2" width="25.42578125" style="101" bestFit="1" customWidth="1"/>
    <col min="3" max="7" width="11" style="101" customWidth="1"/>
    <col min="8" max="8" width="5.85546875" style="101" customWidth="1"/>
    <col min="9" max="10" width="9.140625" style="101"/>
    <col min="11" max="11" width="11" style="101" customWidth="1"/>
    <col min="12" max="12" width="5.42578125" style="101" customWidth="1"/>
    <col min="13" max="13" width="10.85546875" style="101" customWidth="1"/>
    <col min="14" max="16384" width="9.140625" style="101"/>
  </cols>
  <sheetData>
    <row r="1" spans="1:15" s="359" customFormat="1" ht="18">
      <c r="G1" s="691" t="str">
        <f>+Parameters!B7</f>
        <v>ABC Startup</v>
      </c>
    </row>
    <row r="2" spans="1:15" s="359" customFormat="1" ht="18">
      <c r="G2" s="691" t="s">
        <v>453</v>
      </c>
    </row>
    <row r="3" spans="1:15" ht="13.5" thickBot="1">
      <c r="A3" s="359"/>
      <c r="B3" s="359"/>
      <c r="C3" s="359"/>
      <c r="D3" s="359"/>
      <c r="E3" s="359"/>
      <c r="F3" s="359"/>
      <c r="G3" s="359"/>
    </row>
    <row r="4" spans="1:15" s="10" customFormat="1" ht="15" customHeight="1" thickBot="1">
      <c r="A4" s="8"/>
      <c r="B4" s="9"/>
      <c r="C4" s="833" t="s">
        <v>339</v>
      </c>
      <c r="D4" s="834"/>
      <c r="E4" s="834"/>
      <c r="F4" s="834"/>
      <c r="G4" s="835"/>
      <c r="I4" s="833" t="s">
        <v>340</v>
      </c>
      <c r="J4" s="834"/>
      <c r="K4" s="835"/>
      <c r="L4" s="359"/>
      <c r="M4" s="499" t="s">
        <v>23</v>
      </c>
    </row>
    <row r="5" spans="1:15" ht="15" customHeight="1" thickBot="1">
      <c r="A5" s="359"/>
      <c r="B5" s="359"/>
      <c r="C5" s="836" t="s">
        <v>163</v>
      </c>
      <c r="D5" s="837"/>
      <c r="E5" s="837"/>
      <c r="F5" s="837"/>
      <c r="G5" s="838"/>
      <c r="I5" s="836" t="s">
        <v>163</v>
      </c>
      <c r="J5" s="837"/>
      <c r="K5" s="838"/>
      <c r="L5" s="359"/>
      <c r="M5" s="502" t="s">
        <v>163</v>
      </c>
    </row>
    <row r="6" spans="1:15" ht="15" customHeight="1" thickBot="1">
      <c r="A6" s="359"/>
      <c r="B6" s="359"/>
      <c r="C6" s="155" t="s">
        <v>11</v>
      </c>
      <c r="D6" s="156" t="s">
        <v>12</v>
      </c>
      <c r="E6" s="156" t="s">
        <v>13</v>
      </c>
      <c r="F6" s="156" t="s">
        <v>14</v>
      </c>
      <c r="G6" s="501" t="s">
        <v>23</v>
      </c>
      <c r="I6" s="155" t="s">
        <v>11</v>
      </c>
      <c r="J6" s="156" t="s">
        <v>12</v>
      </c>
      <c r="K6" s="501" t="s">
        <v>23</v>
      </c>
      <c r="L6" s="359"/>
      <c r="M6" s="500" t="s">
        <v>451</v>
      </c>
    </row>
    <row r="7" spans="1:15" ht="15" customHeight="1">
      <c r="A7" s="359"/>
      <c r="B7" s="11" t="s">
        <v>0</v>
      </c>
      <c r="C7" s="360"/>
      <c r="D7" s="360"/>
      <c r="E7" s="360"/>
      <c r="F7" s="360"/>
      <c r="G7" s="360"/>
      <c r="I7" s="360"/>
      <c r="J7" s="360"/>
      <c r="K7" s="360"/>
      <c r="L7" s="360"/>
      <c r="M7" s="360"/>
    </row>
    <row r="8" spans="1:15" ht="15" customHeight="1">
      <c r="A8" s="359"/>
      <c r="B8" s="17" t="s">
        <v>452</v>
      </c>
      <c r="C8" s="360">
        <f>+Sales!B30+Sales!C30+Sales!D30</f>
        <v>3750</v>
      </c>
      <c r="D8" s="360">
        <f>+Sales!E30+Sales!F30+Sales!G30</f>
        <v>12900</v>
      </c>
      <c r="E8" s="360">
        <f>+Sales!H30+Sales!I30+Sales!J30</f>
        <v>29300</v>
      </c>
      <c r="F8" s="360">
        <f>+Sales!K30+Sales!L30+Sales!M30</f>
        <v>53500</v>
      </c>
      <c r="G8" s="360">
        <f t="shared" ref="G8" si="0">SUM(C8:F8)</f>
        <v>99450</v>
      </c>
      <c r="H8" s="361"/>
      <c r="I8" s="360">
        <f>+Sales!N30+Sales!O30+Sales!P30</f>
        <v>86350</v>
      </c>
      <c r="J8" s="360">
        <f>+Sales!Q30+Sales!R30+Sales!S30</f>
        <v>133550</v>
      </c>
      <c r="K8" s="360">
        <f>SUM(I8:J8)</f>
        <v>219900</v>
      </c>
      <c r="L8" s="361"/>
      <c r="M8" s="530">
        <f>+K8+G8</f>
        <v>319350</v>
      </c>
      <c r="N8" s="542">
        <f>+M8/$M$10</f>
        <v>1</v>
      </c>
      <c r="O8" s="361">
        <f>+M8-Sales!T30</f>
        <v>0</v>
      </c>
    </row>
    <row r="9" spans="1:15" ht="15" customHeight="1">
      <c r="A9" s="359"/>
      <c r="B9" s="17" t="s">
        <v>4</v>
      </c>
      <c r="C9" s="480"/>
      <c r="D9" s="480"/>
      <c r="E9" s="480"/>
      <c r="F9" s="480"/>
      <c r="G9" s="480"/>
      <c r="I9" s="480"/>
      <c r="J9" s="480"/>
      <c r="K9" s="480"/>
      <c r="L9" s="359"/>
      <c r="M9" s="533"/>
      <c r="N9" s="543"/>
    </row>
    <row r="10" spans="1:15" ht="15" customHeight="1">
      <c r="A10" s="359"/>
      <c r="B10" s="14" t="s">
        <v>1</v>
      </c>
      <c r="C10" s="16">
        <f>SUM(C8:C9)</f>
        <v>3750</v>
      </c>
      <c r="D10" s="16">
        <f>SUM(D8:D9)</f>
        <v>12900</v>
      </c>
      <c r="E10" s="16">
        <f>SUM(E8:E9)</f>
        <v>29300</v>
      </c>
      <c r="F10" s="16">
        <f>SUM(F8:F9)</f>
        <v>53500</v>
      </c>
      <c r="G10" s="16">
        <f>SUM(G8:G9)</f>
        <v>99450</v>
      </c>
      <c r="I10" s="16">
        <f>SUM(I8:I9)</f>
        <v>86350</v>
      </c>
      <c r="J10" s="16">
        <f>SUM(J8:J9)</f>
        <v>133550</v>
      </c>
      <c r="K10" s="16">
        <f>SUM(K8:K9)</f>
        <v>219900</v>
      </c>
      <c r="L10" s="359"/>
      <c r="M10" s="532">
        <f>SUM(M8:M9)</f>
        <v>319350</v>
      </c>
      <c r="N10" s="542">
        <f>+M10/$M$10</f>
        <v>1</v>
      </c>
    </row>
    <row r="11" spans="1:15" s="359" customFormat="1" ht="15" customHeight="1">
      <c r="B11" s="14"/>
      <c r="C11" s="16"/>
      <c r="D11" s="16"/>
      <c r="E11" s="16"/>
      <c r="F11" s="16"/>
      <c r="G11" s="16"/>
      <c r="I11" s="16"/>
      <c r="J11" s="16"/>
      <c r="K11" s="16"/>
      <c r="M11" s="532"/>
      <c r="N11" s="543"/>
    </row>
    <row r="12" spans="1:15" ht="15" customHeight="1">
      <c r="B12" s="11" t="s">
        <v>5</v>
      </c>
      <c r="C12" s="360"/>
      <c r="D12" s="360"/>
      <c r="E12" s="360"/>
      <c r="F12" s="360"/>
      <c r="G12" s="360"/>
      <c r="H12" s="359"/>
      <c r="I12" s="360"/>
      <c r="J12" s="360"/>
      <c r="K12" s="360"/>
      <c r="L12" s="359"/>
      <c r="M12" s="530"/>
      <c r="N12" s="543"/>
    </row>
    <row r="13" spans="1:15" s="359" customFormat="1" ht="15" customHeight="1">
      <c r="B13" s="17" t="s">
        <v>323</v>
      </c>
      <c r="C13" s="360">
        <f>+Payroll!S26+Payroll!T26+Payroll!U26</f>
        <v>76993.129770992353</v>
      </c>
      <c r="D13" s="360">
        <f>+Payroll!V26+Payroll!W26+Payroll!X26</f>
        <v>106407.6030534351</v>
      </c>
      <c r="E13" s="360">
        <f>+Payroll!Y26+Payroll!Z26+Payroll!AA26</f>
        <v>172322.90076335875</v>
      </c>
      <c r="F13" s="360">
        <f>+Payroll!AB26+Payroll!AC26+Payroll!AD26</f>
        <v>186852.58015267173</v>
      </c>
      <c r="G13" s="360">
        <f>SUM(C13:F13)</f>
        <v>542576.21374045801</v>
      </c>
      <c r="I13" s="360">
        <f>+Payroll!AE26+Payroll!AF26+Payroll!AG26</f>
        <v>203934.74809160305</v>
      </c>
      <c r="J13" s="360">
        <f>+Payroll!AH26+Payroll!AI26+Payroll!AJ26</f>
        <v>208477.87786259537</v>
      </c>
      <c r="K13" s="360">
        <f>SUM(I13:J13)</f>
        <v>412412.62595419842</v>
      </c>
      <c r="L13" s="361"/>
      <c r="M13" s="530">
        <f>+K13+G13</f>
        <v>954988.83969465643</v>
      </c>
      <c r="N13" s="542">
        <f>+M13/$M$10</f>
        <v>2.9904144033025095</v>
      </c>
      <c r="O13" s="361">
        <f>+M13-Payroll!AK26</f>
        <v>0</v>
      </c>
    </row>
    <row r="14" spans="1:15" ht="15" customHeight="1">
      <c r="B14" s="17" t="s">
        <v>2</v>
      </c>
      <c r="C14" s="360">
        <f>+'Sales &amp; Marketing'!B17+'Sales &amp; Marketing'!C17+'Sales &amp; Marketing'!D17</f>
        <v>3050</v>
      </c>
      <c r="D14" s="360">
        <f>+'Sales &amp; Marketing'!E17+'Sales &amp; Marketing'!F17+'Sales &amp; Marketing'!G17</f>
        <v>5600</v>
      </c>
      <c r="E14" s="360">
        <f>+'Sales &amp; Marketing'!H17+'Sales &amp; Marketing'!I17+'Sales &amp; Marketing'!J17</f>
        <v>7050</v>
      </c>
      <c r="F14" s="360">
        <f>+'Sales &amp; Marketing'!K17+'Sales &amp; Marketing'!L17+'Sales &amp; Marketing'!M17</f>
        <v>10950</v>
      </c>
      <c r="G14" s="360">
        <f>SUM(C14:F14)</f>
        <v>26650</v>
      </c>
      <c r="H14" s="359"/>
      <c r="I14" s="360">
        <f>+'Sales &amp; Marketing'!N17+'Sales &amp; Marketing'!O17+'Sales &amp; Marketing'!P17</f>
        <v>10400</v>
      </c>
      <c r="J14" s="360">
        <f>+'Sales &amp; Marketing'!Q17+'Sales &amp; Marketing'!R17+'Sales &amp; Marketing'!S17</f>
        <v>14280</v>
      </c>
      <c r="K14" s="360">
        <f>SUM(I14:J14)</f>
        <v>24680</v>
      </c>
      <c r="L14" s="361"/>
      <c r="M14" s="530">
        <f>+K14+G14</f>
        <v>51330</v>
      </c>
      <c r="N14" s="542">
        <f>+M14/$M$10</f>
        <v>0.16073273837482385</v>
      </c>
    </row>
    <row r="15" spans="1:15" ht="15" customHeight="1">
      <c r="B15" s="17" t="s">
        <v>3</v>
      </c>
      <c r="C15" s="360">
        <f>+Overhead!Q73</f>
        <v>33554.198473282435</v>
      </c>
      <c r="D15" s="360">
        <f>+Overhead!R73</f>
        <v>43254.961832061053</v>
      </c>
      <c r="E15" s="360">
        <f>+Overhead!S73</f>
        <v>49300.763358778619</v>
      </c>
      <c r="F15" s="360">
        <f>+Overhead!T73</f>
        <v>56170.992366412196</v>
      </c>
      <c r="G15" s="360">
        <f>SUM(C15:F15)</f>
        <v>182280.91603053428</v>
      </c>
      <c r="H15" s="359"/>
      <c r="I15" s="360">
        <f>+Overhead!U73</f>
        <v>82226.580544137789</v>
      </c>
      <c r="J15" s="360">
        <f>+Overhead!V73</f>
        <v>83325.817185359163</v>
      </c>
      <c r="K15" s="360">
        <f>SUM(I15:J15)</f>
        <v>165552.39772949694</v>
      </c>
      <c r="L15" s="361"/>
      <c r="M15" s="530">
        <f>+K15+G15</f>
        <v>347833.31376003125</v>
      </c>
      <c r="N15" s="542">
        <f>+M15/$M$10</f>
        <v>1.0891915257868523</v>
      </c>
      <c r="O15" s="361">
        <f>+M15-Overhead!W73</f>
        <v>0</v>
      </c>
    </row>
    <row r="16" spans="1:15" ht="15" customHeight="1">
      <c r="B16" s="14" t="s">
        <v>6</v>
      </c>
      <c r="C16" s="15">
        <f>SUM(C13:C15)</f>
        <v>113597.32824427479</v>
      </c>
      <c r="D16" s="15">
        <f>SUM(D13:D15)</f>
        <v>155262.56488549616</v>
      </c>
      <c r="E16" s="15">
        <f>SUM(E13:E15)</f>
        <v>228673.66412213736</v>
      </c>
      <c r="F16" s="15">
        <f>SUM(F13:F15)</f>
        <v>253973.57251908391</v>
      </c>
      <c r="G16" s="15">
        <f>SUM(G13:G15)</f>
        <v>751507.12977099232</v>
      </c>
      <c r="H16" s="359"/>
      <c r="I16" s="15">
        <f>SUM(I13:I15)</f>
        <v>296561.32863574085</v>
      </c>
      <c r="J16" s="15">
        <f>SUM(J13:J15)</f>
        <v>306083.69504795456</v>
      </c>
      <c r="K16" s="15">
        <f>SUM(K13:K15)</f>
        <v>602645.02368369536</v>
      </c>
      <c r="L16" s="361"/>
      <c r="M16" s="529">
        <f>SUM(M13:M15)</f>
        <v>1354152.1534546877</v>
      </c>
      <c r="N16" s="542">
        <f>+M16/$M$10</f>
        <v>4.2403386674641856</v>
      </c>
      <c r="O16" s="361"/>
    </row>
    <row r="17" spans="1:14" s="495" customFormat="1" ht="15" customHeight="1">
      <c r="B17" s="496" t="s">
        <v>346</v>
      </c>
      <c r="C17" s="497"/>
      <c r="D17" s="497"/>
      <c r="E17" s="497"/>
      <c r="F17" s="497"/>
      <c r="G17" s="497">
        <f>SUM(C17:F17)</f>
        <v>0</v>
      </c>
      <c r="H17" s="359"/>
      <c r="I17" s="497"/>
      <c r="J17" s="497"/>
      <c r="K17" s="497">
        <f>SUM(I17:J17)</f>
        <v>0</v>
      </c>
      <c r="L17" s="498"/>
      <c r="M17" s="531">
        <f>+K17+G17</f>
        <v>0</v>
      </c>
      <c r="N17" s="543"/>
    </row>
    <row r="18" spans="1:14" s="359" customFormat="1" ht="15" customHeight="1">
      <c r="B18" s="14" t="s">
        <v>347</v>
      </c>
      <c r="C18" s="16">
        <f>+C16+C17</f>
        <v>113597.32824427479</v>
      </c>
      <c r="D18" s="16">
        <f>+D16+D17</f>
        <v>155262.56488549616</v>
      </c>
      <c r="E18" s="16">
        <f>+E16+E17</f>
        <v>228673.66412213736</v>
      </c>
      <c r="F18" s="16">
        <f>+F16+F17</f>
        <v>253973.57251908391</v>
      </c>
      <c r="G18" s="16">
        <f>+G16+G17</f>
        <v>751507.12977099232</v>
      </c>
      <c r="I18" s="16">
        <f>+I16+I17</f>
        <v>296561.32863574085</v>
      </c>
      <c r="J18" s="16">
        <f>+J16+J17</f>
        <v>306083.69504795456</v>
      </c>
      <c r="K18" s="16">
        <f>+K16+K17</f>
        <v>602645.02368369536</v>
      </c>
      <c r="L18" s="361"/>
      <c r="M18" s="532">
        <f>+M16+M17</f>
        <v>1354152.1534546877</v>
      </c>
      <c r="N18" s="542">
        <f>+M18/$M$10</f>
        <v>4.2403386674641856</v>
      </c>
    </row>
    <row r="19" spans="1:14" ht="15" customHeight="1">
      <c r="B19" s="12"/>
      <c r="C19" s="19"/>
      <c r="D19" s="294"/>
      <c r="E19" s="294"/>
      <c r="F19" s="294"/>
      <c r="G19" s="19"/>
      <c r="H19" s="359"/>
      <c r="I19" s="19"/>
      <c r="J19" s="294"/>
      <c r="K19" s="19"/>
      <c r="L19" s="359"/>
      <c r="M19" s="19"/>
      <c r="N19" s="543"/>
    </row>
    <row r="20" spans="1:14" ht="15" customHeight="1">
      <c r="B20" s="14" t="s">
        <v>7</v>
      </c>
      <c r="C20" s="15">
        <f>+C10-C18</f>
        <v>-109847.32824427479</v>
      </c>
      <c r="D20" s="15">
        <f>+D10-D18</f>
        <v>-142362.56488549616</v>
      </c>
      <c r="E20" s="15">
        <f>+E10-E18</f>
        <v>-199373.66412213736</v>
      </c>
      <c r="F20" s="15">
        <f>+F10-F18</f>
        <v>-200473.57251908391</v>
      </c>
      <c r="G20" s="15">
        <f>+G10-G18</f>
        <v>-652057.12977099232</v>
      </c>
      <c r="H20" s="359"/>
      <c r="I20" s="15">
        <f>+I10-I18</f>
        <v>-210211.32863574085</v>
      </c>
      <c r="J20" s="15">
        <f>+J10-J18</f>
        <v>-172533.69504795456</v>
      </c>
      <c r="K20" s="15">
        <f>+K10-K18</f>
        <v>-382745.02368369536</v>
      </c>
      <c r="L20" s="361"/>
      <c r="M20" s="529">
        <f>+M10-M18</f>
        <v>-1034802.1534546877</v>
      </c>
      <c r="N20" s="542">
        <f>+M20/$M$10</f>
        <v>-3.2403386674641856</v>
      </c>
    </row>
    <row r="21" spans="1:14" s="359" customFormat="1" ht="15" customHeight="1">
      <c r="B21" s="14"/>
      <c r="C21" s="16"/>
      <c r="D21" s="16"/>
      <c r="E21" s="16"/>
      <c r="F21" s="16"/>
      <c r="G21" s="16"/>
    </row>
    <row r="22" spans="1:14" ht="15" customHeight="1">
      <c r="B22" s="14"/>
      <c r="C22" s="534"/>
      <c r="D22" s="534"/>
      <c r="E22" s="534"/>
      <c r="F22" s="534"/>
      <c r="G22" s="18"/>
      <c r="H22" s="359"/>
      <c r="I22" s="534"/>
      <c r="J22" s="534"/>
    </row>
    <row r="23" spans="1:14" s="20" customFormat="1">
      <c r="A23" s="21"/>
      <c r="B23" s="1"/>
      <c r="C23" s="22"/>
      <c r="D23" s="22"/>
      <c r="E23" s="22"/>
      <c r="F23" s="22"/>
      <c r="G23" s="22"/>
      <c r="H23" s="359"/>
    </row>
    <row r="24" spans="1:14">
      <c r="A24" s="23"/>
      <c r="H24" s="359"/>
    </row>
    <row r="25" spans="1:14">
      <c r="A25" s="23"/>
      <c r="B25" s="24"/>
      <c r="C25" s="25"/>
      <c r="D25" s="25"/>
      <c r="E25" s="25"/>
      <c r="F25" s="25"/>
      <c r="G25" s="25"/>
      <c r="H25" s="359"/>
    </row>
    <row r="26" spans="1:14">
      <c r="C26" s="13"/>
      <c r="D26" s="13"/>
      <c r="E26" s="13"/>
      <c r="F26" s="13"/>
      <c r="G26" s="13"/>
    </row>
    <row r="27" spans="1:14">
      <c r="C27" s="13"/>
      <c r="D27" s="13"/>
      <c r="E27" s="13"/>
      <c r="F27" s="13"/>
      <c r="G27" s="13"/>
    </row>
    <row r="28" spans="1:14">
      <c r="C28" s="13"/>
      <c r="D28" s="13"/>
      <c r="E28" s="13"/>
      <c r="F28" s="13"/>
      <c r="G28" s="13"/>
    </row>
    <row r="29" spans="1:14">
      <c r="C29" s="13"/>
      <c r="D29" s="13"/>
      <c r="E29" s="13"/>
      <c r="F29" s="13"/>
      <c r="G29" s="13"/>
    </row>
    <row r="30" spans="1:14">
      <c r="C30" s="13"/>
      <c r="D30" s="13"/>
      <c r="E30" s="13"/>
      <c r="F30" s="13"/>
      <c r="G30" s="13"/>
    </row>
    <row r="31" spans="1:14">
      <c r="C31" s="13"/>
      <c r="D31" s="13"/>
      <c r="E31" s="13"/>
      <c r="F31" s="13"/>
      <c r="G31" s="13"/>
    </row>
    <row r="32" spans="1:14">
      <c r="C32" s="13"/>
      <c r="D32" s="13"/>
      <c r="E32" s="13"/>
      <c r="F32" s="13"/>
      <c r="G32" s="13"/>
    </row>
    <row r="33" spans="3:7">
      <c r="C33" s="13"/>
      <c r="D33" s="13"/>
      <c r="E33" s="13"/>
      <c r="F33" s="13"/>
      <c r="G33" s="13"/>
    </row>
    <row r="34" spans="3:7">
      <c r="C34" s="13"/>
      <c r="D34" s="13"/>
      <c r="E34" s="13"/>
      <c r="F34" s="13"/>
      <c r="G34" s="13"/>
    </row>
    <row r="35" spans="3:7">
      <c r="C35" s="13"/>
      <c r="D35" s="13"/>
      <c r="E35" s="13"/>
      <c r="F35" s="13"/>
      <c r="G35" s="13"/>
    </row>
    <row r="36" spans="3:7">
      <c r="C36" s="13"/>
      <c r="D36" s="13"/>
      <c r="E36" s="13"/>
      <c r="F36" s="13"/>
      <c r="G36" s="13"/>
    </row>
    <row r="37" spans="3:7">
      <c r="C37" s="13"/>
      <c r="D37" s="13"/>
      <c r="E37" s="13"/>
      <c r="F37" s="13"/>
      <c r="G37" s="13"/>
    </row>
    <row r="38" spans="3:7">
      <c r="C38" s="13"/>
      <c r="D38" s="13"/>
      <c r="E38" s="13"/>
      <c r="F38" s="13"/>
      <c r="G38" s="13"/>
    </row>
    <row r="39" spans="3:7">
      <c r="C39" s="13"/>
      <c r="D39" s="13"/>
      <c r="E39" s="13"/>
      <c r="F39" s="13"/>
      <c r="G39" s="13"/>
    </row>
    <row r="40" spans="3:7">
      <c r="C40" s="13"/>
      <c r="D40" s="13"/>
      <c r="E40" s="13"/>
      <c r="F40" s="13"/>
      <c r="G40" s="13"/>
    </row>
    <row r="41" spans="3:7">
      <c r="C41" s="13"/>
      <c r="D41" s="13"/>
      <c r="E41" s="13"/>
      <c r="F41" s="13"/>
      <c r="G41" s="13"/>
    </row>
    <row r="42" spans="3:7">
      <c r="C42" s="13"/>
      <c r="D42" s="13"/>
      <c r="E42" s="13"/>
      <c r="F42" s="13"/>
      <c r="G42" s="13"/>
    </row>
    <row r="43" spans="3:7">
      <c r="C43" s="13"/>
      <c r="D43" s="13"/>
      <c r="E43" s="13"/>
      <c r="F43" s="13"/>
      <c r="G43" s="13"/>
    </row>
    <row r="44" spans="3:7">
      <c r="C44" s="13"/>
      <c r="D44" s="13"/>
      <c r="E44" s="13"/>
      <c r="F44" s="13"/>
      <c r="G44" s="13"/>
    </row>
    <row r="45" spans="3:7">
      <c r="C45" s="13"/>
      <c r="D45" s="13"/>
      <c r="E45" s="13"/>
      <c r="F45" s="13"/>
      <c r="G45" s="13"/>
    </row>
    <row r="46" spans="3:7">
      <c r="C46" s="13"/>
      <c r="D46" s="13"/>
      <c r="E46" s="13"/>
      <c r="F46" s="13"/>
      <c r="G46" s="13"/>
    </row>
    <row r="47" spans="3:7">
      <c r="C47" s="13"/>
      <c r="D47" s="13"/>
      <c r="E47" s="13"/>
      <c r="F47" s="13"/>
      <c r="G47" s="13"/>
    </row>
    <row r="48" spans="3:7">
      <c r="C48" s="13"/>
      <c r="D48" s="13"/>
      <c r="E48" s="13"/>
      <c r="F48" s="13"/>
      <c r="G48" s="13"/>
    </row>
    <row r="49" spans="3:7">
      <c r="C49" s="13"/>
      <c r="D49" s="13"/>
      <c r="E49" s="13"/>
      <c r="F49" s="13"/>
      <c r="G49" s="13"/>
    </row>
    <row r="50" spans="3:7">
      <c r="C50" s="13"/>
      <c r="D50" s="13"/>
      <c r="E50" s="13"/>
      <c r="F50" s="13"/>
      <c r="G50" s="13"/>
    </row>
    <row r="51" spans="3:7">
      <c r="C51" s="13"/>
      <c r="D51" s="13"/>
      <c r="E51" s="13"/>
      <c r="F51" s="13"/>
      <c r="G51" s="13"/>
    </row>
    <row r="52" spans="3:7">
      <c r="C52" s="13"/>
      <c r="D52" s="13"/>
      <c r="E52" s="13"/>
      <c r="F52" s="13"/>
      <c r="G52" s="13"/>
    </row>
    <row r="53" spans="3:7">
      <c r="C53" s="13"/>
      <c r="D53" s="13"/>
      <c r="E53" s="13"/>
      <c r="F53" s="13"/>
      <c r="G53" s="13"/>
    </row>
    <row r="54" spans="3:7">
      <c r="C54" s="13"/>
      <c r="D54" s="13"/>
      <c r="E54" s="13"/>
      <c r="F54" s="13"/>
      <c r="G54" s="13"/>
    </row>
    <row r="55" spans="3:7">
      <c r="C55" s="13"/>
      <c r="D55" s="13"/>
      <c r="E55" s="13"/>
      <c r="F55" s="13"/>
      <c r="G55" s="13"/>
    </row>
    <row r="56" spans="3:7">
      <c r="C56" s="13"/>
      <c r="D56" s="13"/>
      <c r="E56" s="13"/>
      <c r="F56" s="13"/>
      <c r="G56" s="13"/>
    </row>
    <row r="57" spans="3:7">
      <c r="C57" s="13"/>
      <c r="D57" s="13"/>
      <c r="E57" s="13"/>
      <c r="F57" s="13"/>
      <c r="G57" s="13"/>
    </row>
    <row r="58" spans="3:7">
      <c r="C58" s="13"/>
      <c r="D58" s="13"/>
      <c r="E58" s="13"/>
      <c r="F58" s="13"/>
      <c r="G58" s="13"/>
    </row>
    <row r="59" spans="3:7">
      <c r="C59" s="13"/>
      <c r="D59" s="13"/>
      <c r="E59" s="13"/>
      <c r="F59" s="13"/>
      <c r="G59" s="13"/>
    </row>
    <row r="60" spans="3:7">
      <c r="C60" s="13"/>
      <c r="D60" s="13"/>
      <c r="E60" s="13"/>
      <c r="F60" s="13"/>
      <c r="G60" s="13"/>
    </row>
    <row r="61" spans="3:7">
      <c r="C61" s="13"/>
      <c r="D61" s="13"/>
      <c r="E61" s="13"/>
      <c r="F61" s="13"/>
      <c r="G61" s="13"/>
    </row>
    <row r="62" spans="3:7">
      <c r="C62" s="13"/>
      <c r="D62" s="13"/>
      <c r="E62" s="13"/>
      <c r="F62" s="13"/>
      <c r="G62" s="13"/>
    </row>
    <row r="63" spans="3:7">
      <c r="C63" s="13"/>
      <c r="D63" s="13"/>
      <c r="E63" s="13"/>
      <c r="F63" s="13"/>
      <c r="G63" s="13"/>
    </row>
    <row r="64" spans="3:7">
      <c r="C64" s="13"/>
      <c r="D64" s="13"/>
      <c r="E64" s="13"/>
      <c r="F64" s="13"/>
      <c r="G64" s="13"/>
    </row>
    <row r="65" spans="3:7">
      <c r="C65" s="13"/>
      <c r="D65" s="13"/>
      <c r="E65" s="13"/>
      <c r="F65" s="13"/>
      <c r="G65" s="13"/>
    </row>
    <row r="66" spans="3:7">
      <c r="C66" s="13"/>
      <c r="D66" s="13"/>
      <c r="E66" s="13"/>
      <c r="F66" s="13"/>
      <c r="G66" s="13"/>
    </row>
    <row r="67" spans="3:7">
      <c r="C67" s="13"/>
      <c r="D67" s="13"/>
      <c r="E67" s="13"/>
      <c r="F67" s="13"/>
      <c r="G67" s="13"/>
    </row>
    <row r="68" spans="3:7">
      <c r="C68" s="13"/>
      <c r="D68" s="13"/>
      <c r="E68" s="13"/>
      <c r="F68" s="13"/>
      <c r="G68" s="13"/>
    </row>
    <row r="69" spans="3:7">
      <c r="C69" s="13"/>
      <c r="D69" s="13"/>
      <c r="E69" s="13"/>
      <c r="F69" s="13"/>
      <c r="G69" s="13"/>
    </row>
    <row r="70" spans="3:7">
      <c r="C70" s="13"/>
      <c r="D70" s="13"/>
      <c r="E70" s="13"/>
      <c r="F70" s="13"/>
      <c r="G70" s="13"/>
    </row>
    <row r="71" spans="3:7">
      <c r="C71" s="13"/>
      <c r="D71" s="13"/>
      <c r="E71" s="13"/>
      <c r="F71" s="13"/>
      <c r="G71" s="13"/>
    </row>
    <row r="72" spans="3:7">
      <c r="C72" s="13"/>
      <c r="D72" s="13"/>
      <c r="E72" s="13"/>
      <c r="F72" s="13"/>
      <c r="G72" s="13"/>
    </row>
    <row r="73" spans="3:7">
      <c r="C73" s="13"/>
      <c r="D73" s="13"/>
      <c r="E73" s="13"/>
      <c r="F73" s="13"/>
      <c r="G73" s="13"/>
    </row>
    <row r="74" spans="3:7">
      <c r="C74" s="13"/>
      <c r="D74" s="13"/>
      <c r="E74" s="13"/>
      <c r="F74" s="13"/>
      <c r="G74" s="13"/>
    </row>
    <row r="75" spans="3:7">
      <c r="C75" s="13"/>
      <c r="D75" s="13"/>
      <c r="E75" s="13"/>
      <c r="F75" s="13"/>
      <c r="G75" s="13"/>
    </row>
    <row r="76" spans="3:7">
      <c r="C76" s="13"/>
      <c r="D76" s="13"/>
      <c r="E76" s="13"/>
      <c r="F76" s="13"/>
      <c r="G76" s="13"/>
    </row>
    <row r="77" spans="3:7">
      <c r="C77" s="13"/>
      <c r="D77" s="13"/>
      <c r="E77" s="13"/>
      <c r="F77" s="13"/>
      <c r="G77" s="13"/>
    </row>
    <row r="78" spans="3:7">
      <c r="C78" s="13"/>
      <c r="D78" s="13"/>
      <c r="E78" s="13"/>
      <c r="F78" s="13"/>
      <c r="G78" s="13"/>
    </row>
    <row r="79" spans="3:7">
      <c r="C79" s="13"/>
      <c r="D79" s="13"/>
      <c r="E79" s="13"/>
      <c r="F79" s="13"/>
      <c r="G79" s="13"/>
    </row>
    <row r="80" spans="3:7">
      <c r="C80" s="13"/>
      <c r="D80" s="13"/>
      <c r="E80" s="13"/>
      <c r="F80" s="13"/>
      <c r="G80" s="13"/>
    </row>
    <row r="81" spans="3:7">
      <c r="C81" s="13"/>
      <c r="D81" s="13"/>
      <c r="E81" s="13"/>
      <c r="F81" s="13"/>
      <c r="G81" s="13"/>
    </row>
    <row r="82" spans="3:7">
      <c r="C82" s="13"/>
      <c r="D82" s="13"/>
      <c r="E82" s="13"/>
      <c r="F82" s="13"/>
      <c r="G82" s="13"/>
    </row>
    <row r="83" spans="3:7">
      <c r="C83" s="13"/>
      <c r="D83" s="13"/>
      <c r="E83" s="13"/>
      <c r="F83" s="13"/>
      <c r="G83" s="13"/>
    </row>
    <row r="84" spans="3:7">
      <c r="C84" s="13"/>
      <c r="D84" s="13"/>
      <c r="E84" s="13"/>
      <c r="F84" s="13"/>
      <c r="G84" s="13"/>
    </row>
    <row r="85" spans="3:7">
      <c r="C85" s="13"/>
      <c r="D85" s="13"/>
      <c r="E85" s="13"/>
      <c r="F85" s="13"/>
      <c r="G85" s="13"/>
    </row>
    <row r="86" spans="3:7">
      <c r="C86" s="13"/>
      <c r="D86" s="13"/>
      <c r="E86" s="13"/>
      <c r="F86" s="13"/>
      <c r="G86" s="13"/>
    </row>
    <row r="87" spans="3:7">
      <c r="C87" s="13"/>
      <c r="D87" s="13"/>
      <c r="E87" s="13"/>
      <c r="F87" s="13"/>
      <c r="G87" s="13"/>
    </row>
    <row r="88" spans="3:7">
      <c r="C88" s="13"/>
      <c r="D88" s="13"/>
      <c r="E88" s="13"/>
      <c r="F88" s="13"/>
      <c r="G88" s="13"/>
    </row>
    <row r="89" spans="3:7">
      <c r="C89" s="13"/>
      <c r="D89" s="13"/>
      <c r="E89" s="13"/>
      <c r="F89" s="13"/>
      <c r="G89" s="13"/>
    </row>
    <row r="90" spans="3:7">
      <c r="C90" s="13"/>
      <c r="D90" s="13"/>
      <c r="E90" s="13"/>
      <c r="F90" s="13"/>
      <c r="G90" s="13"/>
    </row>
    <row r="91" spans="3:7">
      <c r="C91" s="13"/>
      <c r="D91" s="13"/>
      <c r="E91" s="13"/>
      <c r="F91" s="13"/>
      <c r="G91" s="13"/>
    </row>
    <row r="92" spans="3:7">
      <c r="C92" s="13"/>
      <c r="D92" s="13"/>
      <c r="E92" s="13"/>
      <c r="F92" s="13"/>
      <c r="G92" s="13"/>
    </row>
    <row r="93" spans="3:7">
      <c r="C93" s="13"/>
      <c r="D93" s="13"/>
      <c r="E93" s="13"/>
      <c r="F93" s="13"/>
      <c r="G93" s="13"/>
    </row>
    <row r="94" spans="3:7">
      <c r="C94" s="13"/>
      <c r="D94" s="13"/>
      <c r="E94" s="13"/>
      <c r="F94" s="13"/>
      <c r="G94" s="13"/>
    </row>
    <row r="95" spans="3:7">
      <c r="C95" s="13"/>
      <c r="D95" s="13"/>
      <c r="E95" s="13"/>
      <c r="F95" s="13"/>
      <c r="G95" s="13"/>
    </row>
    <row r="96" spans="3:7">
      <c r="C96" s="13"/>
      <c r="D96" s="13"/>
      <c r="E96" s="13"/>
      <c r="F96" s="13"/>
      <c r="G96" s="13"/>
    </row>
    <row r="97" spans="3:7">
      <c r="C97" s="13"/>
      <c r="D97" s="13"/>
      <c r="E97" s="13"/>
      <c r="F97" s="13"/>
      <c r="G97" s="13"/>
    </row>
    <row r="98" spans="3:7">
      <c r="C98" s="13"/>
      <c r="D98" s="13"/>
      <c r="E98" s="13"/>
      <c r="F98" s="13"/>
      <c r="G98" s="13"/>
    </row>
    <row r="99" spans="3:7">
      <c r="C99" s="13"/>
      <c r="D99" s="13"/>
      <c r="E99" s="13"/>
      <c r="F99" s="13"/>
      <c r="G99" s="13"/>
    </row>
    <row r="100" spans="3:7">
      <c r="C100" s="13"/>
      <c r="D100" s="13"/>
      <c r="E100" s="13"/>
      <c r="F100" s="13"/>
      <c r="G100" s="13"/>
    </row>
    <row r="101" spans="3:7">
      <c r="C101" s="13"/>
      <c r="D101" s="13"/>
      <c r="E101" s="13"/>
      <c r="F101" s="13"/>
      <c r="G101" s="13"/>
    </row>
    <row r="102" spans="3:7">
      <c r="C102" s="13"/>
      <c r="D102" s="13"/>
      <c r="E102" s="13"/>
      <c r="F102" s="13"/>
      <c r="G102" s="13"/>
    </row>
    <row r="103" spans="3:7">
      <c r="C103" s="13"/>
      <c r="D103" s="13"/>
      <c r="E103" s="13"/>
      <c r="F103" s="13"/>
      <c r="G103" s="13"/>
    </row>
    <row r="104" spans="3:7">
      <c r="C104" s="13"/>
      <c r="D104" s="13"/>
      <c r="E104" s="13"/>
      <c r="F104" s="13"/>
      <c r="G104" s="13"/>
    </row>
    <row r="105" spans="3:7">
      <c r="C105" s="13"/>
      <c r="D105" s="13"/>
      <c r="E105" s="13"/>
      <c r="F105" s="13"/>
      <c r="G105" s="13"/>
    </row>
    <row r="106" spans="3:7">
      <c r="C106" s="13"/>
      <c r="D106" s="13"/>
      <c r="E106" s="13"/>
      <c r="F106" s="13"/>
      <c r="G106" s="13"/>
    </row>
    <row r="107" spans="3:7">
      <c r="C107" s="13"/>
      <c r="D107" s="13"/>
      <c r="E107" s="13"/>
      <c r="F107" s="13"/>
      <c r="G107" s="13"/>
    </row>
    <row r="108" spans="3:7">
      <c r="C108" s="13"/>
      <c r="D108" s="13"/>
      <c r="E108" s="13"/>
      <c r="F108" s="13"/>
      <c r="G108" s="13"/>
    </row>
    <row r="109" spans="3:7">
      <c r="C109" s="13"/>
      <c r="D109" s="13"/>
      <c r="E109" s="13"/>
      <c r="F109" s="13"/>
      <c r="G109" s="13"/>
    </row>
    <row r="110" spans="3:7">
      <c r="C110" s="13"/>
      <c r="D110" s="13"/>
      <c r="E110" s="13"/>
      <c r="F110" s="13"/>
      <c r="G110" s="13"/>
    </row>
    <row r="111" spans="3:7">
      <c r="C111" s="13"/>
      <c r="D111" s="13"/>
      <c r="E111" s="13"/>
      <c r="F111" s="13"/>
      <c r="G111" s="13"/>
    </row>
    <row r="112" spans="3:7">
      <c r="C112" s="13"/>
      <c r="D112" s="13"/>
      <c r="E112" s="13"/>
      <c r="F112" s="13"/>
      <c r="G112" s="13"/>
    </row>
    <row r="113" spans="3:7">
      <c r="C113" s="13"/>
      <c r="D113" s="13"/>
      <c r="E113" s="13"/>
      <c r="F113" s="13"/>
      <c r="G113" s="13"/>
    </row>
    <row r="114" spans="3:7">
      <c r="C114" s="13"/>
      <c r="D114" s="13"/>
      <c r="E114" s="13"/>
      <c r="F114" s="13"/>
      <c r="G114" s="13"/>
    </row>
    <row r="115" spans="3:7">
      <c r="C115" s="13"/>
      <c r="D115" s="13"/>
      <c r="E115" s="13"/>
      <c r="F115" s="13"/>
      <c r="G115" s="13"/>
    </row>
    <row r="116" spans="3:7">
      <c r="C116" s="13"/>
      <c r="D116" s="13"/>
      <c r="E116" s="13"/>
      <c r="F116" s="13"/>
      <c r="G116" s="13"/>
    </row>
    <row r="117" spans="3:7">
      <c r="C117" s="13"/>
      <c r="D117" s="13"/>
      <c r="E117" s="13"/>
      <c r="F117" s="13"/>
      <c r="G117" s="13"/>
    </row>
    <row r="118" spans="3:7">
      <c r="C118" s="13"/>
      <c r="D118" s="13"/>
      <c r="E118" s="13"/>
      <c r="F118" s="13"/>
      <c r="G118" s="13"/>
    </row>
    <row r="119" spans="3:7">
      <c r="C119" s="13"/>
      <c r="D119" s="13"/>
      <c r="E119" s="13"/>
      <c r="F119" s="13"/>
      <c r="G119" s="13"/>
    </row>
    <row r="120" spans="3:7">
      <c r="C120" s="13"/>
      <c r="D120" s="13"/>
      <c r="E120" s="13"/>
      <c r="F120" s="13"/>
      <c r="G120" s="13"/>
    </row>
    <row r="121" spans="3:7">
      <c r="C121" s="13"/>
      <c r="D121" s="13"/>
      <c r="E121" s="13"/>
      <c r="F121" s="13"/>
      <c r="G121" s="13"/>
    </row>
    <row r="122" spans="3:7">
      <c r="C122" s="13"/>
      <c r="D122" s="13"/>
      <c r="E122" s="13"/>
      <c r="F122" s="13"/>
      <c r="G122" s="13"/>
    </row>
    <row r="123" spans="3:7">
      <c r="C123" s="13"/>
      <c r="D123" s="13"/>
      <c r="E123" s="13"/>
      <c r="F123" s="13"/>
      <c r="G123" s="13"/>
    </row>
    <row r="124" spans="3:7">
      <c r="C124" s="13"/>
      <c r="D124" s="13"/>
      <c r="E124" s="13"/>
      <c r="F124" s="13"/>
      <c r="G124" s="13"/>
    </row>
    <row r="125" spans="3:7">
      <c r="C125" s="13"/>
      <c r="D125" s="13"/>
      <c r="E125" s="13"/>
      <c r="F125" s="13"/>
      <c r="G125" s="13"/>
    </row>
    <row r="126" spans="3:7">
      <c r="C126" s="13"/>
      <c r="D126" s="13"/>
      <c r="E126" s="13"/>
      <c r="F126" s="13"/>
      <c r="G126" s="13"/>
    </row>
    <row r="127" spans="3:7">
      <c r="C127" s="13"/>
      <c r="D127" s="13"/>
      <c r="E127" s="13"/>
      <c r="F127" s="13"/>
      <c r="G127" s="13"/>
    </row>
    <row r="128" spans="3:7">
      <c r="C128" s="13"/>
      <c r="D128" s="13"/>
      <c r="E128" s="13"/>
      <c r="F128" s="13"/>
      <c r="G128" s="13"/>
    </row>
    <row r="129" spans="3:7">
      <c r="C129" s="13"/>
      <c r="D129" s="13"/>
      <c r="E129" s="13"/>
      <c r="F129" s="13"/>
      <c r="G129" s="13"/>
    </row>
    <row r="130" spans="3:7">
      <c r="C130" s="13"/>
      <c r="D130" s="13"/>
      <c r="E130" s="13"/>
      <c r="F130" s="13"/>
      <c r="G130" s="13"/>
    </row>
    <row r="131" spans="3:7">
      <c r="C131" s="13"/>
      <c r="D131" s="13"/>
      <c r="E131" s="13"/>
      <c r="F131" s="13"/>
      <c r="G131" s="13"/>
    </row>
    <row r="132" spans="3:7">
      <c r="C132" s="13"/>
      <c r="D132" s="13"/>
      <c r="E132" s="13"/>
      <c r="F132" s="13"/>
      <c r="G132" s="13"/>
    </row>
    <row r="133" spans="3:7">
      <c r="C133" s="13"/>
      <c r="D133" s="13"/>
      <c r="E133" s="13"/>
      <c r="F133" s="13"/>
      <c r="G133" s="13"/>
    </row>
    <row r="134" spans="3:7">
      <c r="C134" s="13"/>
      <c r="D134" s="13"/>
      <c r="E134" s="13"/>
      <c r="F134" s="13"/>
      <c r="G134" s="13"/>
    </row>
    <row r="135" spans="3:7">
      <c r="C135" s="13"/>
      <c r="D135" s="13"/>
      <c r="E135" s="13"/>
      <c r="F135" s="13"/>
      <c r="G135" s="13"/>
    </row>
    <row r="136" spans="3:7">
      <c r="C136" s="13"/>
      <c r="D136" s="13"/>
      <c r="E136" s="13"/>
      <c r="F136" s="13"/>
      <c r="G136" s="13"/>
    </row>
    <row r="137" spans="3:7">
      <c r="C137" s="13"/>
      <c r="D137" s="13"/>
      <c r="E137" s="13"/>
      <c r="F137" s="13"/>
      <c r="G137" s="13"/>
    </row>
    <row r="138" spans="3:7">
      <c r="C138" s="13"/>
      <c r="D138" s="13"/>
      <c r="E138" s="13"/>
      <c r="F138" s="13"/>
      <c r="G138" s="13"/>
    </row>
    <row r="139" spans="3:7">
      <c r="C139" s="13"/>
      <c r="D139" s="13"/>
      <c r="E139" s="13"/>
      <c r="F139" s="13"/>
      <c r="G139" s="13"/>
    </row>
    <row r="140" spans="3:7">
      <c r="C140" s="13"/>
      <c r="D140" s="13"/>
      <c r="E140" s="13"/>
      <c r="F140" s="13"/>
      <c r="G140" s="13"/>
    </row>
    <row r="141" spans="3:7">
      <c r="C141" s="13"/>
      <c r="D141" s="13"/>
      <c r="E141" s="13"/>
      <c r="F141" s="13"/>
      <c r="G141" s="13"/>
    </row>
    <row r="142" spans="3:7">
      <c r="C142" s="13"/>
      <c r="D142" s="13"/>
      <c r="E142" s="13"/>
      <c r="F142" s="13"/>
      <c r="G142" s="13"/>
    </row>
    <row r="143" spans="3:7">
      <c r="C143" s="13"/>
      <c r="D143" s="13"/>
      <c r="E143" s="13"/>
      <c r="F143" s="13"/>
      <c r="G143" s="13"/>
    </row>
    <row r="144" spans="3:7">
      <c r="C144" s="13"/>
      <c r="D144" s="13"/>
      <c r="E144" s="13"/>
      <c r="F144" s="13"/>
      <c r="G144" s="13"/>
    </row>
    <row r="145" spans="3:7">
      <c r="C145" s="13"/>
      <c r="D145" s="13"/>
      <c r="E145" s="13"/>
      <c r="F145" s="13"/>
      <c r="G145" s="13"/>
    </row>
    <row r="146" spans="3:7">
      <c r="C146" s="13"/>
      <c r="D146" s="13"/>
      <c r="E146" s="13"/>
      <c r="F146" s="13"/>
      <c r="G146" s="13"/>
    </row>
    <row r="147" spans="3:7">
      <c r="C147" s="13"/>
      <c r="D147" s="13"/>
      <c r="E147" s="13"/>
      <c r="F147" s="13"/>
      <c r="G147" s="13"/>
    </row>
    <row r="148" spans="3:7">
      <c r="C148" s="13"/>
      <c r="D148" s="13"/>
      <c r="E148" s="13"/>
      <c r="F148" s="13"/>
      <c r="G148" s="13"/>
    </row>
    <row r="149" spans="3:7">
      <c r="C149" s="13"/>
      <c r="D149" s="13"/>
      <c r="E149" s="13"/>
      <c r="F149" s="13"/>
      <c r="G149" s="13"/>
    </row>
    <row r="150" spans="3:7">
      <c r="C150" s="13"/>
      <c r="D150" s="13"/>
      <c r="E150" s="13"/>
      <c r="F150" s="13"/>
      <c r="G150" s="13"/>
    </row>
    <row r="151" spans="3:7">
      <c r="C151" s="13"/>
      <c r="D151" s="13"/>
      <c r="E151" s="13"/>
      <c r="F151" s="13"/>
      <c r="G151" s="13"/>
    </row>
    <row r="152" spans="3:7">
      <c r="C152" s="13"/>
      <c r="D152" s="13"/>
      <c r="E152" s="13"/>
      <c r="F152" s="13"/>
      <c r="G152" s="13"/>
    </row>
    <row r="153" spans="3:7">
      <c r="C153" s="13"/>
      <c r="D153" s="13"/>
      <c r="E153" s="13"/>
      <c r="F153" s="13"/>
      <c r="G153" s="13"/>
    </row>
    <row r="154" spans="3:7">
      <c r="C154" s="13"/>
      <c r="D154" s="13"/>
      <c r="E154" s="13"/>
      <c r="F154" s="13"/>
      <c r="G154" s="13"/>
    </row>
    <row r="155" spans="3:7">
      <c r="C155" s="13"/>
      <c r="D155" s="13"/>
      <c r="E155" s="13"/>
      <c r="F155" s="13"/>
      <c r="G155" s="13"/>
    </row>
    <row r="156" spans="3:7">
      <c r="C156" s="13"/>
      <c r="D156" s="13"/>
      <c r="E156" s="13"/>
      <c r="F156" s="13"/>
      <c r="G156" s="13"/>
    </row>
    <row r="157" spans="3:7">
      <c r="C157" s="13"/>
      <c r="D157" s="13"/>
      <c r="E157" s="13"/>
      <c r="F157" s="13"/>
      <c r="G157" s="13"/>
    </row>
    <row r="158" spans="3:7">
      <c r="C158" s="13"/>
      <c r="D158" s="13"/>
      <c r="E158" s="13"/>
      <c r="F158" s="13"/>
      <c r="G158" s="13"/>
    </row>
    <row r="159" spans="3:7">
      <c r="C159" s="13"/>
      <c r="D159" s="13"/>
      <c r="E159" s="13"/>
      <c r="F159" s="13"/>
      <c r="G159" s="13"/>
    </row>
    <row r="160" spans="3:7">
      <c r="C160" s="13"/>
      <c r="D160" s="13"/>
      <c r="E160" s="13"/>
      <c r="F160" s="13"/>
      <c r="G160" s="13"/>
    </row>
    <row r="161" spans="3:7">
      <c r="C161" s="13"/>
      <c r="D161" s="13"/>
      <c r="E161" s="13"/>
      <c r="F161" s="13"/>
      <c r="G161" s="13"/>
    </row>
    <row r="162" spans="3:7">
      <c r="C162" s="13"/>
      <c r="D162" s="13"/>
      <c r="E162" s="13"/>
      <c r="F162" s="13"/>
      <c r="G162" s="13"/>
    </row>
    <row r="163" spans="3:7">
      <c r="C163" s="13"/>
      <c r="D163" s="13"/>
      <c r="E163" s="13"/>
      <c r="F163" s="13"/>
      <c r="G163" s="13"/>
    </row>
    <row r="164" spans="3:7">
      <c r="C164" s="13"/>
      <c r="D164" s="13"/>
      <c r="E164" s="13"/>
      <c r="F164" s="13"/>
      <c r="G164" s="13"/>
    </row>
    <row r="165" spans="3:7">
      <c r="C165" s="13"/>
      <c r="D165" s="13"/>
      <c r="E165" s="13"/>
      <c r="F165" s="13"/>
      <c r="G165" s="13"/>
    </row>
    <row r="166" spans="3:7">
      <c r="C166" s="13"/>
      <c r="D166" s="13"/>
      <c r="E166" s="13"/>
      <c r="F166" s="13"/>
      <c r="G166" s="13"/>
    </row>
    <row r="167" spans="3:7">
      <c r="C167" s="13"/>
      <c r="D167" s="13"/>
      <c r="E167" s="13"/>
      <c r="F167" s="13"/>
      <c r="G167" s="13"/>
    </row>
    <row r="168" spans="3:7">
      <c r="C168" s="13"/>
      <c r="D168" s="13"/>
      <c r="E168" s="13"/>
      <c r="F168" s="13"/>
      <c r="G168" s="13"/>
    </row>
    <row r="169" spans="3:7">
      <c r="C169" s="13"/>
      <c r="D169" s="13"/>
      <c r="E169" s="13"/>
      <c r="F169" s="13"/>
      <c r="G169" s="13"/>
    </row>
    <row r="170" spans="3:7">
      <c r="C170" s="13"/>
      <c r="D170" s="13"/>
      <c r="E170" s="13"/>
      <c r="F170" s="13"/>
      <c r="G170" s="13"/>
    </row>
    <row r="171" spans="3:7">
      <c r="C171" s="13"/>
      <c r="D171" s="13"/>
      <c r="E171" s="13"/>
      <c r="F171" s="13"/>
      <c r="G171" s="13"/>
    </row>
    <row r="172" spans="3:7">
      <c r="C172" s="13"/>
      <c r="D172" s="13"/>
      <c r="E172" s="13"/>
      <c r="F172" s="13"/>
      <c r="G172" s="13"/>
    </row>
    <row r="173" spans="3:7">
      <c r="C173" s="13"/>
      <c r="D173" s="13"/>
      <c r="E173" s="13"/>
      <c r="F173" s="13"/>
      <c r="G173" s="13"/>
    </row>
    <row r="174" spans="3:7">
      <c r="C174" s="13"/>
      <c r="D174" s="13"/>
      <c r="E174" s="13"/>
      <c r="F174" s="13"/>
      <c r="G174" s="13"/>
    </row>
    <row r="175" spans="3:7">
      <c r="C175" s="13"/>
      <c r="D175" s="13"/>
      <c r="E175" s="13"/>
      <c r="F175" s="13"/>
      <c r="G175" s="13"/>
    </row>
    <row r="176" spans="3:7">
      <c r="C176" s="13"/>
      <c r="D176" s="13"/>
      <c r="E176" s="13"/>
      <c r="F176" s="13"/>
      <c r="G176" s="13"/>
    </row>
    <row r="177" spans="3:7">
      <c r="C177" s="13"/>
      <c r="D177" s="13"/>
      <c r="E177" s="13"/>
      <c r="F177" s="13"/>
      <c r="G177" s="13"/>
    </row>
    <row r="178" spans="3:7">
      <c r="C178" s="13"/>
      <c r="D178" s="13"/>
      <c r="E178" s="13"/>
      <c r="F178" s="13"/>
      <c r="G178" s="13"/>
    </row>
    <row r="179" spans="3:7">
      <c r="C179" s="13"/>
      <c r="D179" s="13"/>
      <c r="E179" s="13"/>
      <c r="F179" s="13"/>
      <c r="G179" s="13"/>
    </row>
    <row r="180" spans="3:7">
      <c r="C180" s="13"/>
      <c r="D180" s="13"/>
      <c r="E180" s="13"/>
      <c r="F180" s="13"/>
      <c r="G180" s="13"/>
    </row>
    <row r="181" spans="3:7">
      <c r="C181" s="13"/>
      <c r="D181" s="13"/>
      <c r="E181" s="13"/>
      <c r="F181" s="13"/>
      <c r="G181" s="13"/>
    </row>
    <row r="182" spans="3:7">
      <c r="C182" s="13"/>
      <c r="D182" s="13"/>
      <c r="E182" s="13"/>
      <c r="F182" s="13"/>
      <c r="G182" s="13"/>
    </row>
    <row r="183" spans="3:7">
      <c r="C183" s="13"/>
      <c r="D183" s="13"/>
      <c r="E183" s="13"/>
      <c r="F183" s="13"/>
      <c r="G183" s="13"/>
    </row>
    <row r="184" spans="3:7">
      <c r="C184" s="13"/>
      <c r="D184" s="13"/>
      <c r="E184" s="13"/>
      <c r="F184" s="13"/>
      <c r="G184" s="13"/>
    </row>
    <row r="185" spans="3:7">
      <c r="C185" s="13"/>
      <c r="D185" s="13"/>
      <c r="E185" s="13"/>
      <c r="F185" s="13"/>
      <c r="G185" s="13"/>
    </row>
    <row r="186" spans="3:7">
      <c r="C186" s="13"/>
      <c r="D186" s="13"/>
      <c r="E186" s="13"/>
      <c r="F186" s="13"/>
      <c r="G186" s="13"/>
    </row>
    <row r="187" spans="3:7">
      <c r="C187" s="13"/>
      <c r="D187" s="13"/>
      <c r="E187" s="13"/>
      <c r="F187" s="13"/>
      <c r="G187" s="13"/>
    </row>
    <row r="188" spans="3:7">
      <c r="C188" s="13"/>
      <c r="D188" s="13"/>
      <c r="E188" s="13"/>
      <c r="F188" s="13"/>
      <c r="G188" s="13"/>
    </row>
    <row r="189" spans="3:7">
      <c r="C189" s="13"/>
      <c r="D189" s="13"/>
      <c r="E189" s="13"/>
      <c r="F189" s="13"/>
      <c r="G189" s="13"/>
    </row>
    <row r="190" spans="3:7">
      <c r="C190" s="13"/>
      <c r="D190" s="13"/>
      <c r="E190" s="13"/>
      <c r="F190" s="13"/>
      <c r="G190" s="13"/>
    </row>
    <row r="191" spans="3:7">
      <c r="C191" s="13"/>
      <c r="D191" s="13"/>
      <c r="E191" s="13"/>
      <c r="F191" s="13"/>
      <c r="G191" s="13"/>
    </row>
    <row r="192" spans="3:7">
      <c r="C192" s="13"/>
      <c r="D192" s="13"/>
      <c r="E192" s="13"/>
      <c r="F192" s="13"/>
      <c r="G192" s="13"/>
    </row>
    <row r="193" spans="3:7">
      <c r="C193" s="13"/>
      <c r="D193" s="13"/>
      <c r="E193" s="13"/>
      <c r="F193" s="13"/>
      <c r="G193" s="13"/>
    </row>
    <row r="194" spans="3:7">
      <c r="C194" s="13"/>
      <c r="D194" s="13"/>
      <c r="E194" s="13"/>
      <c r="F194" s="13"/>
      <c r="G194" s="13"/>
    </row>
    <row r="195" spans="3:7">
      <c r="C195" s="13"/>
      <c r="D195" s="13"/>
      <c r="E195" s="13"/>
      <c r="F195" s="13"/>
      <c r="G195" s="13"/>
    </row>
    <row r="196" spans="3:7">
      <c r="C196" s="13"/>
      <c r="D196" s="13"/>
      <c r="E196" s="13"/>
      <c r="F196" s="13"/>
      <c r="G196" s="13"/>
    </row>
    <row r="197" spans="3:7">
      <c r="C197" s="13"/>
      <c r="D197" s="13"/>
      <c r="E197" s="13"/>
      <c r="F197" s="13"/>
      <c r="G197" s="13"/>
    </row>
    <row r="198" spans="3:7">
      <c r="C198" s="13"/>
      <c r="D198" s="13"/>
      <c r="E198" s="13"/>
      <c r="F198" s="13"/>
      <c r="G198" s="13"/>
    </row>
    <row r="199" spans="3:7">
      <c r="C199" s="13"/>
      <c r="D199" s="13"/>
      <c r="E199" s="13"/>
      <c r="F199" s="13"/>
      <c r="G199" s="13"/>
    </row>
    <row r="200" spans="3:7">
      <c r="C200" s="13"/>
      <c r="D200" s="13"/>
      <c r="E200" s="13"/>
      <c r="F200" s="13"/>
      <c r="G200" s="13"/>
    </row>
    <row r="201" spans="3:7">
      <c r="C201" s="13"/>
      <c r="D201" s="13"/>
      <c r="E201" s="13"/>
      <c r="F201" s="13"/>
      <c r="G201" s="13"/>
    </row>
    <row r="202" spans="3:7">
      <c r="C202" s="13"/>
      <c r="D202" s="13"/>
      <c r="E202" s="13"/>
      <c r="F202" s="13"/>
      <c r="G202" s="13"/>
    </row>
    <row r="203" spans="3:7">
      <c r="C203" s="13"/>
      <c r="D203" s="13"/>
      <c r="E203" s="13"/>
      <c r="F203" s="13"/>
      <c r="G203" s="13"/>
    </row>
    <row r="204" spans="3:7">
      <c r="C204" s="13"/>
      <c r="D204" s="13"/>
      <c r="E204" s="13"/>
      <c r="F204" s="13"/>
      <c r="G204" s="13"/>
    </row>
    <row r="205" spans="3:7">
      <c r="C205" s="13"/>
      <c r="D205" s="13"/>
      <c r="E205" s="13"/>
      <c r="F205" s="13"/>
      <c r="G205" s="13"/>
    </row>
    <row r="206" spans="3:7">
      <c r="C206" s="13"/>
      <c r="D206" s="13"/>
      <c r="E206" s="13"/>
      <c r="F206" s="13"/>
      <c r="G206" s="13"/>
    </row>
    <row r="207" spans="3:7">
      <c r="C207" s="13"/>
      <c r="D207" s="13"/>
      <c r="E207" s="13"/>
      <c r="F207" s="13"/>
      <c r="G207" s="13"/>
    </row>
    <row r="208" spans="3:7">
      <c r="C208" s="13"/>
      <c r="D208" s="13"/>
      <c r="E208" s="13"/>
      <c r="F208" s="13"/>
      <c r="G208" s="13"/>
    </row>
    <row r="209" spans="3:7">
      <c r="C209" s="13"/>
      <c r="D209" s="13"/>
      <c r="E209" s="13"/>
      <c r="F209" s="13"/>
      <c r="G209" s="13"/>
    </row>
    <row r="210" spans="3:7">
      <c r="C210" s="13"/>
      <c r="D210" s="13"/>
      <c r="E210" s="13"/>
      <c r="F210" s="13"/>
      <c r="G210" s="13"/>
    </row>
    <row r="211" spans="3:7">
      <c r="C211" s="13"/>
      <c r="D211" s="13"/>
      <c r="E211" s="13"/>
      <c r="F211" s="13"/>
      <c r="G211" s="13"/>
    </row>
    <row r="212" spans="3:7">
      <c r="C212" s="13"/>
      <c r="D212" s="13"/>
      <c r="E212" s="13"/>
      <c r="F212" s="13"/>
      <c r="G212" s="13"/>
    </row>
    <row r="213" spans="3:7">
      <c r="C213" s="13"/>
      <c r="D213" s="13"/>
      <c r="E213" s="13"/>
      <c r="F213" s="13"/>
      <c r="G213" s="13"/>
    </row>
    <row r="214" spans="3:7">
      <c r="C214" s="13"/>
      <c r="D214" s="13"/>
      <c r="E214" s="13"/>
      <c r="F214" s="13"/>
      <c r="G214" s="13"/>
    </row>
    <row r="215" spans="3:7">
      <c r="C215" s="13"/>
      <c r="D215" s="13"/>
      <c r="E215" s="13"/>
      <c r="F215" s="13"/>
      <c r="G215" s="13"/>
    </row>
    <row r="216" spans="3:7">
      <c r="C216" s="13"/>
      <c r="D216" s="13"/>
      <c r="E216" s="13"/>
      <c r="F216" s="13"/>
      <c r="G216" s="13"/>
    </row>
    <row r="217" spans="3:7">
      <c r="C217" s="13"/>
      <c r="D217" s="13"/>
      <c r="E217" s="13"/>
      <c r="F217" s="13"/>
      <c r="G217" s="13"/>
    </row>
    <row r="218" spans="3:7">
      <c r="C218" s="13"/>
      <c r="D218" s="13"/>
      <c r="E218" s="13"/>
      <c r="F218" s="13"/>
      <c r="G218" s="13"/>
    </row>
    <row r="219" spans="3:7">
      <c r="C219" s="13"/>
      <c r="D219" s="13"/>
      <c r="E219" s="13"/>
      <c r="F219" s="13"/>
      <c r="G219" s="13"/>
    </row>
    <row r="220" spans="3:7">
      <c r="C220" s="13"/>
      <c r="D220" s="13"/>
      <c r="E220" s="13"/>
      <c r="F220" s="13"/>
      <c r="G220" s="13"/>
    </row>
    <row r="221" spans="3:7">
      <c r="C221" s="13"/>
      <c r="D221" s="13"/>
      <c r="E221" s="13"/>
      <c r="F221" s="13"/>
      <c r="G221" s="13"/>
    </row>
    <row r="222" spans="3:7">
      <c r="C222" s="13"/>
      <c r="D222" s="13"/>
      <c r="E222" s="13"/>
      <c r="F222" s="13"/>
      <c r="G222" s="13"/>
    </row>
    <row r="223" spans="3:7">
      <c r="C223" s="13"/>
      <c r="D223" s="13"/>
      <c r="E223" s="13"/>
      <c r="F223" s="13"/>
      <c r="G223" s="13"/>
    </row>
    <row r="224" spans="3:7">
      <c r="C224" s="13"/>
      <c r="D224" s="13"/>
      <c r="E224" s="13"/>
      <c r="F224" s="13"/>
      <c r="G224" s="13"/>
    </row>
    <row r="225" spans="3:7">
      <c r="C225" s="13"/>
      <c r="D225" s="13"/>
      <c r="E225" s="13"/>
      <c r="F225" s="13"/>
      <c r="G225" s="13"/>
    </row>
    <row r="226" spans="3:7">
      <c r="C226" s="13"/>
      <c r="D226" s="13"/>
      <c r="E226" s="13"/>
      <c r="F226" s="13"/>
      <c r="G226" s="13"/>
    </row>
    <row r="227" spans="3:7">
      <c r="C227" s="13"/>
      <c r="D227" s="13"/>
      <c r="E227" s="13"/>
      <c r="F227" s="13"/>
      <c r="G227" s="13"/>
    </row>
    <row r="228" spans="3:7">
      <c r="C228" s="13"/>
      <c r="D228" s="13"/>
      <c r="E228" s="13"/>
      <c r="F228" s="13"/>
      <c r="G228" s="13"/>
    </row>
    <row r="229" spans="3:7">
      <c r="C229" s="13"/>
      <c r="D229" s="13"/>
      <c r="E229" s="13"/>
      <c r="F229" s="13"/>
      <c r="G229" s="13"/>
    </row>
    <row r="230" spans="3:7">
      <c r="C230" s="13"/>
      <c r="D230" s="13"/>
      <c r="E230" s="13"/>
      <c r="F230" s="13"/>
      <c r="G230" s="13"/>
    </row>
    <row r="231" spans="3:7">
      <c r="C231" s="13"/>
      <c r="D231" s="13"/>
      <c r="E231" s="13"/>
      <c r="F231" s="13"/>
      <c r="G231" s="13"/>
    </row>
    <row r="232" spans="3:7">
      <c r="C232" s="13"/>
      <c r="D232" s="13"/>
      <c r="E232" s="13"/>
      <c r="F232" s="13"/>
      <c r="G232" s="13"/>
    </row>
    <row r="233" spans="3:7">
      <c r="C233" s="13"/>
      <c r="D233" s="13"/>
      <c r="E233" s="13"/>
      <c r="F233" s="13"/>
      <c r="G233" s="13"/>
    </row>
    <row r="234" spans="3:7">
      <c r="C234" s="13"/>
      <c r="D234" s="13"/>
      <c r="E234" s="13"/>
      <c r="F234" s="13"/>
      <c r="G234" s="13"/>
    </row>
    <row r="235" spans="3:7">
      <c r="C235" s="13"/>
      <c r="D235" s="13"/>
      <c r="E235" s="13"/>
      <c r="F235" s="13"/>
      <c r="G235" s="13"/>
    </row>
    <row r="236" spans="3:7">
      <c r="C236" s="13"/>
      <c r="D236" s="13"/>
      <c r="E236" s="13"/>
      <c r="F236" s="13"/>
      <c r="G236" s="13"/>
    </row>
    <row r="237" spans="3:7">
      <c r="C237" s="13"/>
      <c r="D237" s="13"/>
      <c r="E237" s="13"/>
      <c r="F237" s="13"/>
      <c r="G237" s="13"/>
    </row>
    <row r="238" spans="3:7">
      <c r="C238" s="13"/>
      <c r="D238" s="13"/>
      <c r="E238" s="13"/>
      <c r="F238" s="13"/>
      <c r="G238" s="13"/>
    </row>
    <row r="239" spans="3:7">
      <c r="C239" s="13"/>
      <c r="D239" s="13"/>
      <c r="E239" s="13"/>
      <c r="F239" s="13"/>
      <c r="G239" s="13"/>
    </row>
    <row r="240" spans="3:7">
      <c r="C240" s="13"/>
      <c r="D240" s="13"/>
      <c r="E240" s="13"/>
      <c r="F240" s="13"/>
      <c r="G240" s="13"/>
    </row>
    <row r="241" spans="3:7">
      <c r="C241" s="13"/>
      <c r="D241" s="13"/>
      <c r="E241" s="13"/>
      <c r="F241" s="13"/>
      <c r="G241" s="13"/>
    </row>
    <row r="242" spans="3:7">
      <c r="C242" s="13"/>
      <c r="D242" s="13"/>
      <c r="E242" s="13"/>
      <c r="F242" s="13"/>
      <c r="G242" s="13"/>
    </row>
    <row r="243" spans="3:7">
      <c r="C243" s="13"/>
      <c r="D243" s="13"/>
      <c r="E243" s="13"/>
      <c r="F243" s="13"/>
      <c r="G243" s="13"/>
    </row>
    <row r="244" spans="3:7">
      <c r="C244" s="13"/>
      <c r="D244" s="13"/>
      <c r="E244" s="13"/>
      <c r="F244" s="13"/>
      <c r="G244" s="13"/>
    </row>
    <row r="245" spans="3:7">
      <c r="C245" s="13"/>
      <c r="D245" s="13"/>
      <c r="E245" s="13"/>
      <c r="F245" s="13"/>
      <c r="G245" s="13"/>
    </row>
    <row r="246" spans="3:7">
      <c r="C246" s="13"/>
      <c r="D246" s="13"/>
      <c r="E246" s="13"/>
      <c r="F246" s="13"/>
      <c r="G246" s="13"/>
    </row>
    <row r="247" spans="3:7">
      <c r="C247" s="13"/>
      <c r="D247" s="13"/>
      <c r="E247" s="13"/>
      <c r="F247" s="13"/>
      <c r="G247" s="13"/>
    </row>
    <row r="248" spans="3:7">
      <c r="C248" s="13"/>
      <c r="D248" s="13"/>
      <c r="E248" s="13"/>
      <c r="F248" s="13"/>
      <c r="G248" s="13"/>
    </row>
    <row r="249" spans="3:7">
      <c r="C249" s="13"/>
      <c r="D249" s="13"/>
      <c r="E249" s="13"/>
      <c r="F249" s="13"/>
      <c r="G249" s="13"/>
    </row>
    <row r="250" spans="3:7">
      <c r="C250" s="13"/>
      <c r="D250" s="13"/>
      <c r="E250" s="13"/>
      <c r="F250" s="13"/>
      <c r="G250" s="13"/>
    </row>
    <row r="251" spans="3:7">
      <c r="C251" s="13"/>
      <c r="D251" s="13"/>
      <c r="E251" s="13"/>
      <c r="F251" s="13"/>
      <c r="G251" s="13"/>
    </row>
    <row r="252" spans="3:7">
      <c r="C252" s="13"/>
      <c r="D252" s="13"/>
      <c r="E252" s="13"/>
      <c r="F252" s="13"/>
      <c r="G252" s="13"/>
    </row>
    <row r="253" spans="3:7">
      <c r="C253" s="13"/>
      <c r="D253" s="13"/>
      <c r="E253" s="13"/>
      <c r="F253" s="13"/>
      <c r="G253" s="13"/>
    </row>
    <row r="254" spans="3:7">
      <c r="C254" s="13"/>
      <c r="D254" s="13"/>
      <c r="E254" s="13"/>
      <c r="F254" s="13"/>
      <c r="G254" s="13"/>
    </row>
    <row r="255" spans="3:7">
      <c r="C255" s="13"/>
      <c r="D255" s="13"/>
      <c r="E255" s="13"/>
      <c r="F255" s="13"/>
      <c r="G255" s="13"/>
    </row>
    <row r="256" spans="3:7">
      <c r="C256" s="13"/>
      <c r="D256" s="13"/>
      <c r="E256" s="13"/>
      <c r="F256" s="13"/>
      <c r="G256" s="13"/>
    </row>
    <row r="257" spans="3:7">
      <c r="C257" s="13"/>
      <c r="D257" s="13"/>
      <c r="E257" s="13"/>
      <c r="F257" s="13"/>
      <c r="G257" s="13"/>
    </row>
    <row r="258" spans="3:7">
      <c r="C258" s="13"/>
      <c r="D258" s="13"/>
      <c r="E258" s="13"/>
      <c r="F258" s="13"/>
      <c r="G258" s="13"/>
    </row>
    <row r="259" spans="3:7">
      <c r="C259" s="13"/>
      <c r="D259" s="13"/>
      <c r="E259" s="13"/>
      <c r="F259" s="13"/>
      <c r="G259" s="13"/>
    </row>
    <row r="260" spans="3:7">
      <c r="C260" s="13"/>
      <c r="D260" s="13"/>
      <c r="E260" s="13"/>
      <c r="F260" s="13"/>
      <c r="G260" s="13"/>
    </row>
    <row r="261" spans="3:7">
      <c r="C261" s="13"/>
      <c r="D261" s="13"/>
      <c r="E261" s="13"/>
      <c r="F261" s="13"/>
      <c r="G261" s="13"/>
    </row>
    <row r="262" spans="3:7">
      <c r="C262" s="13"/>
      <c r="D262" s="13"/>
      <c r="E262" s="13"/>
      <c r="F262" s="13"/>
      <c r="G262" s="13"/>
    </row>
    <row r="263" spans="3:7">
      <c r="C263" s="13"/>
      <c r="D263" s="13"/>
      <c r="E263" s="13"/>
      <c r="F263" s="13"/>
      <c r="G263" s="13"/>
    </row>
    <row r="264" spans="3:7">
      <c r="C264" s="13"/>
      <c r="D264" s="13"/>
      <c r="E264" s="13"/>
      <c r="F264" s="13"/>
      <c r="G264" s="13"/>
    </row>
    <row r="265" spans="3:7">
      <c r="C265" s="13"/>
      <c r="D265" s="13"/>
      <c r="E265" s="13"/>
      <c r="F265" s="13"/>
      <c r="G265" s="13"/>
    </row>
    <row r="266" spans="3:7">
      <c r="C266" s="13"/>
      <c r="D266" s="13"/>
      <c r="E266" s="13"/>
      <c r="F266" s="13"/>
      <c r="G266" s="13"/>
    </row>
    <row r="267" spans="3:7">
      <c r="C267" s="13"/>
      <c r="D267" s="13"/>
      <c r="E267" s="13"/>
      <c r="F267" s="13"/>
      <c r="G267" s="13"/>
    </row>
    <row r="268" spans="3:7">
      <c r="C268" s="13"/>
      <c r="D268" s="13"/>
      <c r="E268" s="13"/>
      <c r="F268" s="13"/>
      <c r="G268" s="13"/>
    </row>
    <row r="269" spans="3:7">
      <c r="C269" s="13"/>
      <c r="D269" s="13"/>
      <c r="E269" s="13"/>
      <c r="F269" s="13"/>
      <c r="G269" s="13"/>
    </row>
    <row r="270" spans="3:7">
      <c r="C270" s="13"/>
      <c r="D270" s="13"/>
      <c r="E270" s="13"/>
      <c r="F270" s="13"/>
      <c r="G270" s="13"/>
    </row>
    <row r="271" spans="3:7">
      <c r="C271" s="13"/>
      <c r="D271" s="13"/>
      <c r="E271" s="13"/>
      <c r="F271" s="13"/>
      <c r="G271" s="13"/>
    </row>
    <row r="272" spans="3:7">
      <c r="C272" s="13"/>
      <c r="D272" s="13"/>
      <c r="E272" s="13"/>
      <c r="F272" s="13"/>
      <c r="G272" s="13"/>
    </row>
    <row r="273" spans="3:7">
      <c r="C273" s="13"/>
      <c r="D273" s="13"/>
      <c r="E273" s="13"/>
      <c r="F273" s="13"/>
      <c r="G273" s="13"/>
    </row>
    <row r="274" spans="3:7">
      <c r="C274" s="13"/>
      <c r="D274" s="13"/>
      <c r="E274" s="13"/>
      <c r="F274" s="13"/>
      <c r="G274" s="13"/>
    </row>
    <row r="275" spans="3:7">
      <c r="C275" s="13"/>
      <c r="D275" s="13"/>
      <c r="E275" s="13"/>
      <c r="F275" s="13"/>
      <c r="G275" s="13"/>
    </row>
    <row r="276" spans="3:7">
      <c r="C276" s="13"/>
      <c r="D276" s="13"/>
      <c r="E276" s="13"/>
      <c r="F276" s="13"/>
      <c r="G276" s="13"/>
    </row>
    <row r="277" spans="3:7">
      <c r="C277" s="13"/>
      <c r="D277" s="13"/>
      <c r="E277" s="13"/>
      <c r="F277" s="13"/>
      <c r="G277" s="13"/>
    </row>
    <row r="278" spans="3:7">
      <c r="C278" s="13"/>
      <c r="D278" s="13"/>
      <c r="E278" s="13"/>
      <c r="F278" s="13"/>
      <c r="G278" s="13"/>
    </row>
    <row r="279" spans="3:7">
      <c r="C279" s="13"/>
      <c r="D279" s="13"/>
      <c r="E279" s="13"/>
      <c r="F279" s="13"/>
      <c r="G279" s="13"/>
    </row>
    <row r="280" spans="3:7">
      <c r="C280" s="13"/>
      <c r="D280" s="13"/>
      <c r="E280" s="13"/>
      <c r="F280" s="13"/>
      <c r="G280" s="13"/>
    </row>
    <row r="281" spans="3:7">
      <c r="C281" s="13"/>
      <c r="D281" s="13"/>
      <c r="E281" s="13"/>
      <c r="F281" s="13"/>
      <c r="G281" s="13"/>
    </row>
    <row r="282" spans="3:7">
      <c r="C282" s="13"/>
      <c r="D282" s="13"/>
      <c r="E282" s="13"/>
      <c r="F282" s="13"/>
      <c r="G282" s="13"/>
    </row>
    <row r="283" spans="3:7">
      <c r="C283" s="13"/>
      <c r="D283" s="13"/>
      <c r="E283" s="13"/>
      <c r="F283" s="13"/>
      <c r="G283" s="13"/>
    </row>
    <row r="284" spans="3:7">
      <c r="C284" s="13"/>
      <c r="D284" s="13"/>
      <c r="E284" s="13"/>
      <c r="F284" s="13"/>
      <c r="G284" s="13"/>
    </row>
    <row r="285" spans="3:7">
      <c r="C285" s="13"/>
      <c r="D285" s="13"/>
      <c r="E285" s="13"/>
      <c r="F285" s="13"/>
      <c r="G285" s="13"/>
    </row>
    <row r="286" spans="3:7">
      <c r="C286" s="13"/>
      <c r="D286" s="13"/>
      <c r="E286" s="13"/>
      <c r="F286" s="13"/>
      <c r="G286" s="13"/>
    </row>
    <row r="287" spans="3:7">
      <c r="C287" s="13"/>
      <c r="D287" s="13"/>
      <c r="E287" s="13"/>
      <c r="F287" s="13"/>
      <c r="G287" s="13"/>
    </row>
    <row r="288" spans="3:7">
      <c r="C288" s="13"/>
      <c r="D288" s="13"/>
      <c r="E288" s="13"/>
      <c r="F288" s="13"/>
      <c r="G288" s="13"/>
    </row>
    <row r="289" spans="3:7">
      <c r="C289" s="13"/>
      <c r="D289" s="13"/>
      <c r="E289" s="13"/>
      <c r="F289" s="13"/>
      <c r="G289" s="13"/>
    </row>
    <row r="290" spans="3:7">
      <c r="C290" s="13"/>
      <c r="D290" s="13"/>
      <c r="E290" s="13"/>
      <c r="F290" s="13"/>
      <c r="G290" s="13"/>
    </row>
    <row r="291" spans="3:7">
      <c r="C291" s="13"/>
      <c r="D291" s="13"/>
      <c r="E291" s="13"/>
      <c r="F291" s="13"/>
      <c r="G291" s="13"/>
    </row>
    <row r="292" spans="3:7">
      <c r="C292" s="13"/>
      <c r="D292" s="13"/>
      <c r="E292" s="13"/>
      <c r="F292" s="13"/>
      <c r="G292" s="13"/>
    </row>
    <row r="293" spans="3:7">
      <c r="C293" s="13"/>
      <c r="D293" s="13"/>
      <c r="E293" s="13"/>
      <c r="F293" s="13"/>
      <c r="G293" s="13"/>
    </row>
    <row r="294" spans="3:7">
      <c r="C294" s="13"/>
      <c r="D294" s="13"/>
      <c r="E294" s="13"/>
      <c r="F294" s="13"/>
      <c r="G294" s="13"/>
    </row>
    <row r="295" spans="3:7">
      <c r="C295" s="13"/>
      <c r="D295" s="13"/>
      <c r="E295" s="13"/>
      <c r="F295" s="13"/>
      <c r="G295" s="13"/>
    </row>
    <row r="296" spans="3:7">
      <c r="C296" s="13"/>
      <c r="D296" s="13"/>
      <c r="E296" s="13"/>
      <c r="F296" s="13"/>
      <c r="G296" s="13"/>
    </row>
    <row r="297" spans="3:7">
      <c r="C297" s="13"/>
      <c r="D297" s="13"/>
      <c r="E297" s="13"/>
      <c r="F297" s="13"/>
      <c r="G297" s="13"/>
    </row>
    <row r="298" spans="3:7">
      <c r="C298" s="13"/>
      <c r="D298" s="13"/>
      <c r="E298" s="13"/>
      <c r="F298" s="13"/>
      <c r="G298" s="13"/>
    </row>
    <row r="299" spans="3:7">
      <c r="C299" s="13"/>
      <c r="D299" s="13"/>
      <c r="E299" s="13"/>
      <c r="F299" s="13"/>
      <c r="G299" s="13"/>
    </row>
    <row r="300" spans="3:7">
      <c r="C300" s="13"/>
      <c r="D300" s="13"/>
      <c r="E300" s="13"/>
      <c r="F300" s="13"/>
      <c r="G300" s="13"/>
    </row>
    <row r="301" spans="3:7">
      <c r="C301" s="13"/>
      <c r="D301" s="13"/>
      <c r="E301" s="13"/>
      <c r="F301" s="13"/>
      <c r="G301" s="13"/>
    </row>
    <row r="302" spans="3:7">
      <c r="C302" s="13"/>
      <c r="D302" s="13"/>
      <c r="E302" s="13"/>
      <c r="F302" s="13"/>
      <c r="G302" s="13"/>
    </row>
    <row r="303" spans="3:7">
      <c r="C303" s="13"/>
      <c r="D303" s="13"/>
      <c r="E303" s="13"/>
      <c r="F303" s="13"/>
      <c r="G303" s="13"/>
    </row>
    <row r="304" spans="3:7">
      <c r="C304" s="13"/>
      <c r="D304" s="13"/>
      <c r="E304" s="13"/>
      <c r="F304" s="13"/>
      <c r="G304" s="13"/>
    </row>
    <row r="305" spans="3:7">
      <c r="C305" s="13"/>
      <c r="D305" s="13"/>
      <c r="E305" s="13"/>
      <c r="F305" s="13"/>
      <c r="G305" s="13"/>
    </row>
    <row r="306" spans="3:7">
      <c r="C306" s="13"/>
      <c r="D306" s="13"/>
      <c r="E306" s="13"/>
      <c r="F306" s="13"/>
      <c r="G306" s="13"/>
    </row>
    <row r="307" spans="3:7">
      <c r="C307" s="13"/>
      <c r="D307" s="13"/>
      <c r="E307" s="13"/>
      <c r="F307" s="13"/>
      <c r="G307" s="13"/>
    </row>
    <row r="308" spans="3:7">
      <c r="C308" s="13"/>
      <c r="D308" s="13"/>
      <c r="E308" s="13"/>
      <c r="F308" s="13"/>
      <c r="G308" s="13"/>
    </row>
    <row r="309" spans="3:7">
      <c r="C309" s="13"/>
      <c r="D309" s="13"/>
      <c r="E309" s="13"/>
      <c r="F309" s="13"/>
      <c r="G309" s="13"/>
    </row>
    <row r="310" spans="3:7">
      <c r="C310" s="13"/>
      <c r="D310" s="13"/>
      <c r="E310" s="13"/>
      <c r="F310" s="13"/>
      <c r="G310" s="13"/>
    </row>
    <row r="311" spans="3:7">
      <c r="C311" s="13"/>
      <c r="D311" s="13"/>
      <c r="E311" s="13"/>
      <c r="F311" s="13"/>
      <c r="G311" s="13"/>
    </row>
    <row r="312" spans="3:7">
      <c r="C312" s="13"/>
      <c r="D312" s="13"/>
      <c r="E312" s="13"/>
      <c r="F312" s="13"/>
      <c r="G312" s="13"/>
    </row>
    <row r="313" spans="3:7">
      <c r="C313" s="13"/>
      <c r="D313" s="13"/>
      <c r="E313" s="13"/>
      <c r="F313" s="13"/>
      <c r="G313" s="13"/>
    </row>
    <row r="314" spans="3:7">
      <c r="C314" s="13"/>
      <c r="D314" s="13"/>
      <c r="E314" s="13"/>
      <c r="F314" s="13"/>
      <c r="G314" s="13"/>
    </row>
    <row r="315" spans="3:7">
      <c r="C315" s="13"/>
      <c r="D315" s="13"/>
      <c r="E315" s="13"/>
      <c r="F315" s="13"/>
      <c r="G315" s="13"/>
    </row>
    <row r="316" spans="3:7">
      <c r="C316" s="13"/>
      <c r="D316" s="13"/>
      <c r="E316" s="13"/>
      <c r="F316" s="13"/>
      <c r="G316" s="13"/>
    </row>
    <row r="317" spans="3:7">
      <c r="C317" s="13"/>
      <c r="D317" s="13"/>
      <c r="E317" s="13"/>
      <c r="F317" s="13"/>
      <c r="G317" s="13"/>
    </row>
    <row r="318" spans="3:7">
      <c r="C318" s="13"/>
      <c r="D318" s="13"/>
      <c r="E318" s="13"/>
      <c r="F318" s="13"/>
      <c r="G318" s="13"/>
    </row>
    <row r="319" spans="3:7">
      <c r="C319" s="13"/>
      <c r="D319" s="13"/>
      <c r="E319" s="13"/>
      <c r="F319" s="13"/>
      <c r="G319" s="13"/>
    </row>
    <row r="320" spans="3:7">
      <c r="C320" s="13"/>
      <c r="D320" s="13"/>
      <c r="E320" s="13"/>
      <c r="F320" s="13"/>
      <c r="G320" s="13"/>
    </row>
    <row r="321" spans="3:7">
      <c r="C321" s="13"/>
      <c r="D321" s="13"/>
      <c r="E321" s="13"/>
      <c r="F321" s="13"/>
      <c r="G321" s="13"/>
    </row>
    <row r="322" spans="3:7">
      <c r="C322" s="13"/>
      <c r="D322" s="13"/>
      <c r="E322" s="13"/>
      <c r="F322" s="13"/>
      <c r="G322" s="13"/>
    </row>
    <row r="323" spans="3:7">
      <c r="C323" s="13"/>
      <c r="D323" s="13"/>
      <c r="E323" s="13"/>
      <c r="F323" s="13"/>
      <c r="G323" s="13"/>
    </row>
    <row r="324" spans="3:7">
      <c r="C324" s="13"/>
      <c r="D324" s="13"/>
      <c r="E324" s="13"/>
      <c r="F324" s="13"/>
      <c r="G324" s="13"/>
    </row>
    <row r="325" spans="3:7">
      <c r="C325" s="13"/>
      <c r="D325" s="13"/>
      <c r="E325" s="13"/>
      <c r="F325" s="13"/>
      <c r="G325" s="13"/>
    </row>
    <row r="326" spans="3:7">
      <c r="C326" s="13"/>
      <c r="D326" s="13"/>
      <c r="E326" s="13"/>
      <c r="F326" s="13"/>
      <c r="G326" s="13"/>
    </row>
    <row r="327" spans="3:7">
      <c r="C327" s="13"/>
      <c r="D327" s="13"/>
      <c r="E327" s="13"/>
      <c r="F327" s="13"/>
      <c r="G327" s="13"/>
    </row>
    <row r="328" spans="3:7">
      <c r="C328" s="13"/>
      <c r="D328" s="13"/>
      <c r="E328" s="13"/>
      <c r="F328" s="13"/>
      <c r="G328" s="13"/>
    </row>
  </sheetData>
  <mergeCells count="4">
    <mergeCell ref="C4:G4"/>
    <mergeCell ref="C5:G5"/>
    <mergeCell ref="I4:K4"/>
    <mergeCell ref="I5:K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Footer>&amp;L&amp;A&amp;C&amp;D&amp;R&amp;P from &amp;N</oddFooter>
  </headerFooter>
  <ignoredErrors>
    <ignoredError sqref="G8:H8 C17:G21 C16:F16 I16:J16 L16 K8:M8 K17:M19 C9:J11 K9:M13 G13 I17:J21 C12:G12 I12:J12 C24:G25 I24:J25 K21:M25 K20 M20 K14:M15 G14:G15" unlockedFormula="1"/>
    <ignoredError sqref="G16 K16 M16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50F7-5D27-48EA-960B-D92C805B8FE1}">
  <sheetPr>
    <tabColor rgb="FF00B050"/>
  </sheetPr>
  <dimension ref="A1:X75"/>
  <sheetViews>
    <sheetView zoomScaleNormal="100" workbookViewId="0">
      <selection activeCell="K2" sqref="K2"/>
    </sheetView>
  </sheetViews>
  <sheetFormatPr defaultRowHeight="12.75"/>
  <cols>
    <col min="1" max="1" width="24" style="597" customWidth="1"/>
    <col min="2" max="2" width="6.42578125" style="597" customWidth="1"/>
    <col min="3" max="20" width="11.140625" style="597" customWidth="1"/>
    <col min="21" max="21" width="15" style="597" customWidth="1"/>
    <col min="22" max="22" width="4.85546875" style="597" customWidth="1"/>
    <col min="23" max="23" width="9.7109375" style="706" customWidth="1"/>
    <col min="24" max="24" width="9.85546875" style="597" bestFit="1" customWidth="1"/>
    <col min="25" max="16384" width="9.140625" style="597"/>
  </cols>
  <sheetData>
    <row r="1" spans="1:24" ht="22.9" customHeight="1">
      <c r="A1" s="839" t="s">
        <v>460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839"/>
      <c r="U1" s="839"/>
      <c r="V1" s="839"/>
    </row>
    <row r="3" spans="1:24" s="679" customFormat="1">
      <c r="B3" s="680"/>
      <c r="C3" s="680" t="s">
        <v>372</v>
      </c>
      <c r="D3" s="680" t="s">
        <v>373</v>
      </c>
      <c r="E3" s="680" t="s">
        <v>374</v>
      </c>
      <c r="F3" s="680" t="s">
        <v>375</v>
      </c>
      <c r="G3" s="680" t="s">
        <v>376</v>
      </c>
      <c r="H3" s="680" t="s">
        <v>377</v>
      </c>
      <c r="I3" s="680" t="s">
        <v>378</v>
      </c>
      <c r="J3" s="680" t="s">
        <v>379</v>
      </c>
      <c r="K3" s="680" t="s">
        <v>380</v>
      </c>
      <c r="L3" s="680" t="s">
        <v>381</v>
      </c>
      <c r="M3" s="680" t="s">
        <v>382</v>
      </c>
      <c r="N3" s="680" t="s">
        <v>383</v>
      </c>
      <c r="O3" s="680" t="s">
        <v>393</v>
      </c>
      <c r="P3" s="680" t="s">
        <v>394</v>
      </c>
      <c r="Q3" s="680" t="s">
        <v>395</v>
      </c>
      <c r="R3" s="680" t="s">
        <v>396</v>
      </c>
      <c r="S3" s="680" t="s">
        <v>397</v>
      </c>
      <c r="T3" s="680" t="s">
        <v>398</v>
      </c>
      <c r="U3" s="681" t="s">
        <v>23</v>
      </c>
      <c r="V3" s="680"/>
      <c r="W3" s="707"/>
    </row>
    <row r="4" spans="1:24" s="679" customFormat="1">
      <c r="B4" s="680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9"/>
      <c r="V4" s="708"/>
      <c r="W4" s="710"/>
      <c r="X4" s="711"/>
    </row>
    <row r="5" spans="1:24" s="683" customFormat="1">
      <c r="A5" s="682" t="s">
        <v>384</v>
      </c>
      <c r="B5" s="680"/>
      <c r="C5" s="829">
        <v>0</v>
      </c>
      <c r="D5" s="712">
        <f t="shared" ref="D5:N5" si="0">+C39</f>
        <v>166198.01526717556</v>
      </c>
      <c r="E5" s="713">
        <f t="shared" si="0"/>
        <v>132946.03053435113</v>
      </c>
      <c r="F5" s="713">
        <f t="shared" si="0"/>
        <v>90152.671755725183</v>
      </c>
      <c r="G5" s="713">
        <f t="shared" si="0"/>
        <v>43975.725190839694</v>
      </c>
      <c r="H5" s="713">
        <f t="shared" si="0"/>
        <v>198.77862595420447</v>
      </c>
      <c r="I5" s="713">
        <f t="shared" si="0"/>
        <v>1447490.1068702289</v>
      </c>
      <c r="J5" s="713">
        <f t="shared" si="0"/>
        <v>1386136.7022900763</v>
      </c>
      <c r="K5" s="713">
        <f t="shared" si="0"/>
        <v>1316051.572519084</v>
      </c>
      <c r="L5" s="713">
        <f t="shared" si="0"/>
        <v>1247816.4427480916</v>
      </c>
      <c r="M5" s="713">
        <f t="shared" si="0"/>
        <v>1176941.2366412214</v>
      </c>
      <c r="N5" s="713">
        <f t="shared" si="0"/>
        <v>1112366.0305343512</v>
      </c>
      <c r="O5" s="713">
        <f>+N39</f>
        <v>1047042.8702290078</v>
      </c>
      <c r="P5" s="713">
        <f t="shared" ref="P5:T5" si="1">+O39</f>
        <v>966184.51386442245</v>
      </c>
      <c r="Q5" s="713">
        <f t="shared" si="1"/>
        <v>884183.02772884467</v>
      </c>
      <c r="R5" s="713">
        <f t="shared" si="1"/>
        <v>816831.54159326688</v>
      </c>
      <c r="S5" s="713">
        <f t="shared" si="1"/>
        <v>748533.6432439487</v>
      </c>
      <c r="T5" s="713">
        <f t="shared" si="1"/>
        <v>691215.74489463051</v>
      </c>
      <c r="U5" s="713"/>
      <c r="V5" s="714"/>
      <c r="W5" s="715"/>
      <c r="X5" s="716"/>
    </row>
    <row r="6" spans="1:24" s="683" customFormat="1">
      <c r="A6" s="684" t="s">
        <v>457</v>
      </c>
      <c r="B6" s="680"/>
      <c r="C6" s="827">
        <v>200000</v>
      </c>
      <c r="D6" s="827"/>
      <c r="E6" s="827"/>
      <c r="F6" s="827"/>
      <c r="G6" s="827"/>
      <c r="H6" s="827">
        <v>1500000</v>
      </c>
      <c r="I6" s="827"/>
      <c r="J6" s="827"/>
      <c r="K6" s="828"/>
      <c r="L6" s="828"/>
      <c r="M6" s="828"/>
      <c r="N6" s="828"/>
      <c r="O6" s="827"/>
      <c r="P6" s="827"/>
      <c r="Q6" s="827"/>
      <c r="R6" s="827"/>
      <c r="S6" s="827"/>
      <c r="T6" s="827"/>
      <c r="U6" s="717">
        <f>SUM(B6:T6)</f>
        <v>1700000</v>
      </c>
      <c r="V6" s="714"/>
      <c r="W6" s="715"/>
      <c r="X6" s="716"/>
    </row>
    <row r="7" spans="1:24" s="679" customFormat="1">
      <c r="B7" s="680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9"/>
      <c r="V7" s="708"/>
      <c r="W7" s="710"/>
      <c r="X7" s="711"/>
    </row>
    <row r="8" spans="1:24" ht="15">
      <c r="A8" s="685" t="s">
        <v>385</v>
      </c>
      <c r="B8" s="680"/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9"/>
      <c r="V8" s="718"/>
      <c r="W8" s="720"/>
      <c r="X8" s="676"/>
    </row>
    <row r="9" spans="1:24">
      <c r="A9" s="597" t="s">
        <v>386</v>
      </c>
      <c r="B9" s="680"/>
      <c r="C9" s="718">
        <f>+Overhead!Q15/3</f>
        <v>2259.5419847328244</v>
      </c>
      <c r="D9" s="718">
        <f>+C9</f>
        <v>2259.5419847328244</v>
      </c>
      <c r="E9" s="718">
        <f>+D9</f>
        <v>2259.5419847328244</v>
      </c>
      <c r="F9" s="718">
        <f>+Overhead!R15/3</f>
        <v>3175.5725190839694</v>
      </c>
      <c r="G9" s="718">
        <f t="shared" ref="G9:H9" si="2">+F9</f>
        <v>3175.5725190839694</v>
      </c>
      <c r="H9" s="718">
        <f t="shared" si="2"/>
        <v>3175.5725190839694</v>
      </c>
      <c r="I9" s="718">
        <f>+Overhead!S15/3</f>
        <v>5190.8396946564872</v>
      </c>
      <c r="J9" s="718">
        <f t="shared" ref="J9:K9" si="3">+I9</f>
        <v>5190.8396946564872</v>
      </c>
      <c r="K9" s="718">
        <f t="shared" si="3"/>
        <v>5190.8396946564872</v>
      </c>
      <c r="L9" s="718">
        <f>+Overhead!T15/3</f>
        <v>5190.8396946564872</v>
      </c>
      <c r="M9" s="718">
        <f t="shared" ref="M9:N9" si="4">+L9</f>
        <v>5190.8396946564872</v>
      </c>
      <c r="N9" s="718">
        <f t="shared" si="4"/>
        <v>5190.8396946564872</v>
      </c>
      <c r="O9" s="718">
        <f>+Overhead!U15/3</f>
        <v>8792.0662882494926</v>
      </c>
      <c r="P9" s="718">
        <f>+O9</f>
        <v>8792.0662882494926</v>
      </c>
      <c r="Q9" s="718">
        <f>+P9</f>
        <v>8792.0662882494926</v>
      </c>
      <c r="R9" s="718">
        <f>+Overhead!V15/3</f>
        <v>8792.0662882494926</v>
      </c>
      <c r="S9" s="718">
        <f>+R9</f>
        <v>8792.0662882494926</v>
      </c>
      <c r="T9" s="718">
        <f>+S9</f>
        <v>8792.0662882494926</v>
      </c>
      <c r="U9" s="719">
        <f>SUM(C9:T9)</f>
        <v>100202.77940888627</v>
      </c>
      <c r="V9" s="718"/>
      <c r="W9" s="677">
        <f>+Overhead!W15-U9</f>
        <v>0</v>
      </c>
      <c r="X9" s="676"/>
    </row>
    <row r="10" spans="1:24">
      <c r="A10" s="597" t="s">
        <v>159</v>
      </c>
      <c r="B10" s="680"/>
      <c r="C10" s="718">
        <f>+Overhead!Q23/3</f>
        <v>519.08396946564881</v>
      </c>
      <c r="D10" s="718">
        <f t="shared" ref="D10:E10" si="5">+C10</f>
        <v>519.08396946564881</v>
      </c>
      <c r="E10" s="718">
        <f t="shared" si="5"/>
        <v>519.08396946564881</v>
      </c>
      <c r="F10" s="718">
        <f>+Overhead!R23/3</f>
        <v>519.08396946564881</v>
      </c>
      <c r="G10" s="718">
        <f t="shared" ref="G10:G17" si="6">+F10</f>
        <v>519.08396946564881</v>
      </c>
      <c r="H10" s="718">
        <f t="shared" ref="H10:H17" si="7">+G10</f>
        <v>519.08396946564881</v>
      </c>
      <c r="I10" s="718">
        <f>+Overhead!S23/3</f>
        <v>519.08396946564881</v>
      </c>
      <c r="J10" s="718">
        <f t="shared" ref="J10:J17" si="8">+I10</f>
        <v>519.08396946564881</v>
      </c>
      <c r="K10" s="718">
        <f t="shared" ref="K10:K17" si="9">+J10</f>
        <v>519.08396946564881</v>
      </c>
      <c r="L10" s="718">
        <f>+Overhead!T23/3</f>
        <v>519.08396946564881</v>
      </c>
      <c r="M10" s="718">
        <f t="shared" ref="M10:M17" si="10">+L10</f>
        <v>519.08396946564881</v>
      </c>
      <c r="N10" s="718">
        <f t="shared" ref="N10:N17" si="11">+M10</f>
        <v>519.08396946564881</v>
      </c>
      <c r="O10" s="718">
        <f>+Overhead!U23/3</f>
        <v>1038.1679389312976</v>
      </c>
      <c r="P10" s="718">
        <f t="shared" ref="P10:Q10" si="12">+O10</f>
        <v>1038.1679389312976</v>
      </c>
      <c r="Q10" s="718">
        <f t="shared" si="12"/>
        <v>1038.1679389312976</v>
      </c>
      <c r="R10" s="718">
        <f>+Overhead!V23/3</f>
        <v>1038.1679389312976</v>
      </c>
      <c r="S10" s="718">
        <f t="shared" ref="S10:T10" si="13">+R10</f>
        <v>1038.1679389312976</v>
      </c>
      <c r="T10" s="718">
        <f t="shared" si="13"/>
        <v>1038.1679389312976</v>
      </c>
      <c r="U10" s="719">
        <f t="shared" ref="U10:U18" si="14">SUM(C10:T10)</f>
        <v>12458.015267175571</v>
      </c>
      <c r="V10" s="718"/>
      <c r="W10" s="677">
        <f>+Overhead!W23-U10</f>
        <v>0</v>
      </c>
      <c r="X10" s="676"/>
    </row>
    <row r="11" spans="1:24">
      <c r="A11" s="597" t="s">
        <v>387</v>
      </c>
      <c r="B11" s="680"/>
      <c r="C11" s="718">
        <f>+Overhead!Q31/3</f>
        <v>3114.5038167938928</v>
      </c>
      <c r="D11" s="718">
        <f t="shared" ref="D11:E11" si="15">+C11</f>
        <v>3114.5038167938928</v>
      </c>
      <c r="E11" s="718">
        <f t="shared" si="15"/>
        <v>3114.5038167938928</v>
      </c>
      <c r="F11" s="718">
        <f>+Overhead!R31/3</f>
        <v>3114.5038167938928</v>
      </c>
      <c r="G11" s="718">
        <f t="shared" si="6"/>
        <v>3114.5038167938928</v>
      </c>
      <c r="H11" s="718">
        <f t="shared" si="7"/>
        <v>3114.5038167938928</v>
      </c>
      <c r="I11" s="718">
        <f>+Overhead!S31/3</f>
        <v>3114.5038167938928</v>
      </c>
      <c r="J11" s="718">
        <f t="shared" si="8"/>
        <v>3114.5038167938928</v>
      </c>
      <c r="K11" s="718">
        <f t="shared" si="9"/>
        <v>3114.5038167938928</v>
      </c>
      <c r="L11" s="718">
        <f>+Overhead!T31/3</f>
        <v>3114.5038167938928</v>
      </c>
      <c r="M11" s="718">
        <f t="shared" si="10"/>
        <v>3114.5038167938928</v>
      </c>
      <c r="N11" s="718">
        <f t="shared" si="11"/>
        <v>3114.5038167938928</v>
      </c>
      <c r="O11" s="718">
        <f>+Overhead!U31/3</f>
        <v>4396.9465648854957</v>
      </c>
      <c r="P11" s="718">
        <f t="shared" ref="P11:Q11" si="16">+O11</f>
        <v>4396.9465648854957</v>
      </c>
      <c r="Q11" s="718">
        <f t="shared" si="16"/>
        <v>4396.9465648854957</v>
      </c>
      <c r="R11" s="718">
        <f>+Overhead!V31/3</f>
        <v>4763.3587786259532</v>
      </c>
      <c r="S11" s="718">
        <f t="shared" ref="S11:T11" si="17">+R11</f>
        <v>4763.3587786259532</v>
      </c>
      <c r="T11" s="718">
        <f t="shared" si="17"/>
        <v>4763.3587786259532</v>
      </c>
      <c r="U11" s="719">
        <f t="shared" si="14"/>
        <v>64854.961832061053</v>
      </c>
      <c r="V11" s="718"/>
      <c r="W11" s="677">
        <f>+Overhead!W31-U11</f>
        <v>0</v>
      </c>
      <c r="X11" s="676"/>
    </row>
    <row r="12" spans="1:24">
      <c r="A12" s="597" t="s">
        <v>161</v>
      </c>
      <c r="B12" s="680"/>
      <c r="C12" s="718">
        <f>+Overhead!Q35/3</f>
        <v>0</v>
      </c>
      <c r="D12" s="718">
        <f t="shared" ref="D12:E12" si="18">+C12</f>
        <v>0</v>
      </c>
      <c r="E12" s="718">
        <f t="shared" si="18"/>
        <v>0</v>
      </c>
      <c r="F12" s="718">
        <f>+Overhead!R35/3</f>
        <v>2198.4732824427479</v>
      </c>
      <c r="G12" s="718">
        <f t="shared" si="6"/>
        <v>2198.4732824427479</v>
      </c>
      <c r="H12" s="718">
        <f t="shared" si="7"/>
        <v>2198.4732824427479</v>
      </c>
      <c r="I12" s="718">
        <f>+Overhead!S35/3</f>
        <v>2198.4732824427479</v>
      </c>
      <c r="J12" s="718">
        <f t="shared" si="8"/>
        <v>2198.4732824427479</v>
      </c>
      <c r="K12" s="718">
        <f t="shared" si="9"/>
        <v>2198.4732824427479</v>
      </c>
      <c r="L12" s="718">
        <f>+Overhead!T35/3</f>
        <v>2198.4732824427479</v>
      </c>
      <c r="M12" s="718">
        <f t="shared" si="10"/>
        <v>2198.4732824427479</v>
      </c>
      <c r="N12" s="718">
        <f t="shared" si="11"/>
        <v>2198.4732824427479</v>
      </c>
      <c r="O12" s="718">
        <f>+Overhead!U35/3</f>
        <v>4396.9465648854957</v>
      </c>
      <c r="P12" s="718">
        <f t="shared" ref="P12:Q12" si="19">+O12</f>
        <v>4396.9465648854957</v>
      </c>
      <c r="Q12" s="718">
        <f t="shared" si="19"/>
        <v>4396.9465648854957</v>
      </c>
      <c r="R12" s="718">
        <f>+Overhead!V35/3</f>
        <v>4396.9465648854957</v>
      </c>
      <c r="S12" s="718">
        <f t="shared" ref="S12:T12" si="20">+R12</f>
        <v>4396.9465648854957</v>
      </c>
      <c r="T12" s="718">
        <f t="shared" si="20"/>
        <v>4396.9465648854957</v>
      </c>
      <c r="U12" s="719">
        <f t="shared" si="14"/>
        <v>46167.938931297707</v>
      </c>
      <c r="V12" s="718"/>
      <c r="W12" s="677">
        <f>+Overhead!W35-U12</f>
        <v>0</v>
      </c>
      <c r="X12" s="676"/>
    </row>
    <row r="13" spans="1:24">
      <c r="A13" s="597" t="s">
        <v>322</v>
      </c>
      <c r="B13" s="680"/>
      <c r="C13" s="718">
        <f>+Overhead!Q42/3</f>
        <v>2225.9541984732823</v>
      </c>
      <c r="D13" s="718">
        <f t="shared" ref="D13:E13" si="21">+C13</f>
        <v>2225.9541984732823</v>
      </c>
      <c r="E13" s="718">
        <f t="shared" si="21"/>
        <v>2225.9541984732823</v>
      </c>
      <c r="F13" s="718">
        <f>+Overhead!R42/3</f>
        <v>2345.0381679389307</v>
      </c>
      <c r="G13" s="718">
        <f t="shared" si="6"/>
        <v>2345.0381679389307</v>
      </c>
      <c r="H13" s="718">
        <f t="shared" si="7"/>
        <v>2345.0381679389307</v>
      </c>
      <c r="I13" s="718">
        <f>+Overhead!S42/3</f>
        <v>2345.0381679389307</v>
      </c>
      <c r="J13" s="718">
        <f t="shared" si="8"/>
        <v>2345.0381679389307</v>
      </c>
      <c r="K13" s="718">
        <f t="shared" si="9"/>
        <v>2345.0381679389307</v>
      </c>
      <c r="L13" s="718">
        <f>+Overhead!T42/3</f>
        <v>4635.1145038167933</v>
      </c>
      <c r="M13" s="718">
        <f t="shared" si="10"/>
        <v>4635.1145038167933</v>
      </c>
      <c r="N13" s="718">
        <f t="shared" si="11"/>
        <v>4635.1145038167933</v>
      </c>
      <c r="O13" s="718">
        <f>+Overhead!U42/3</f>
        <v>3670.2290076335871</v>
      </c>
      <c r="P13" s="718">
        <f t="shared" ref="P13:Q13" si="22">+O13</f>
        <v>3670.2290076335871</v>
      </c>
      <c r="Q13" s="718">
        <f t="shared" si="22"/>
        <v>3670.2290076335871</v>
      </c>
      <c r="R13" s="718">
        <f>+Overhead!V42/3</f>
        <v>3670.2290076335871</v>
      </c>
      <c r="S13" s="718">
        <f t="shared" ref="S13:T13" si="23">+R13</f>
        <v>3670.2290076335871</v>
      </c>
      <c r="T13" s="718">
        <f t="shared" si="23"/>
        <v>3670.2290076335871</v>
      </c>
      <c r="U13" s="719">
        <f t="shared" si="14"/>
        <v>56674.809160305318</v>
      </c>
      <c r="V13" s="718"/>
      <c r="W13" s="677">
        <f>+Overhead!W42-U13</f>
        <v>0</v>
      </c>
      <c r="X13" s="676"/>
    </row>
    <row r="14" spans="1:24">
      <c r="A14" s="597" t="s">
        <v>160</v>
      </c>
      <c r="B14" s="680"/>
      <c r="C14" s="718">
        <f>+Overhead!Q47/3</f>
        <v>0</v>
      </c>
      <c r="D14" s="718">
        <f t="shared" ref="D14:E14" si="24">+C14</f>
        <v>0</v>
      </c>
      <c r="E14" s="718">
        <f t="shared" si="24"/>
        <v>0</v>
      </c>
      <c r="F14" s="718">
        <f>+Overhead!R47/3</f>
        <v>0</v>
      </c>
      <c r="G14" s="718">
        <f t="shared" si="6"/>
        <v>0</v>
      </c>
      <c r="H14" s="718">
        <f t="shared" si="7"/>
        <v>0</v>
      </c>
      <c r="I14" s="718">
        <f>+Overhead!S47/3</f>
        <v>0</v>
      </c>
      <c r="J14" s="718">
        <f t="shared" si="8"/>
        <v>0</v>
      </c>
      <c r="K14" s="718">
        <f t="shared" si="9"/>
        <v>0</v>
      </c>
      <c r="L14" s="718">
        <f>+Overhead!T47/3</f>
        <v>0</v>
      </c>
      <c r="M14" s="718">
        <f t="shared" si="10"/>
        <v>0</v>
      </c>
      <c r="N14" s="718">
        <f t="shared" si="11"/>
        <v>0</v>
      </c>
      <c r="O14" s="718">
        <f>+Overhead!U47/3</f>
        <v>320.61068702290072</v>
      </c>
      <c r="P14" s="718">
        <f t="shared" ref="P14:Q14" si="25">+O14</f>
        <v>320.61068702290072</v>
      </c>
      <c r="Q14" s="718">
        <f t="shared" si="25"/>
        <v>320.61068702290072</v>
      </c>
      <c r="R14" s="718">
        <f>+Overhead!V47/3</f>
        <v>320.61068702290072</v>
      </c>
      <c r="S14" s="718">
        <f t="shared" ref="S14:T14" si="26">+R14</f>
        <v>320.61068702290072</v>
      </c>
      <c r="T14" s="718">
        <f t="shared" si="26"/>
        <v>320.61068702290072</v>
      </c>
      <c r="U14" s="719">
        <f t="shared" si="14"/>
        <v>1923.6641221374043</v>
      </c>
      <c r="V14" s="718"/>
      <c r="W14" s="677">
        <f>+Overhead!W47-U14</f>
        <v>0</v>
      </c>
      <c r="X14" s="676"/>
    </row>
    <row r="15" spans="1:24">
      <c r="A15" s="597" t="s">
        <v>213</v>
      </c>
      <c r="B15" s="680"/>
      <c r="C15" s="718">
        <f>+Overhead!Q53/3</f>
        <v>1893.1297709923663</v>
      </c>
      <c r="D15" s="718">
        <f t="shared" ref="D15:E15" si="27">+C15</f>
        <v>1893.1297709923663</v>
      </c>
      <c r="E15" s="718">
        <f t="shared" si="27"/>
        <v>1893.1297709923663</v>
      </c>
      <c r="F15" s="718">
        <f>+Overhead!R53/3</f>
        <v>1893.1297709923663</v>
      </c>
      <c r="G15" s="718">
        <f t="shared" si="6"/>
        <v>1893.1297709923663</v>
      </c>
      <c r="H15" s="718">
        <f t="shared" si="7"/>
        <v>1893.1297709923663</v>
      </c>
      <c r="I15" s="718">
        <f>+Overhead!S53/3</f>
        <v>1893.1297709923663</v>
      </c>
      <c r="J15" s="718">
        <f t="shared" si="8"/>
        <v>1893.1297709923663</v>
      </c>
      <c r="K15" s="718">
        <f t="shared" si="9"/>
        <v>1893.1297709923663</v>
      </c>
      <c r="L15" s="718">
        <f>+Overhead!T53/3</f>
        <v>1893.1297709923663</v>
      </c>
      <c r="M15" s="718">
        <f t="shared" si="10"/>
        <v>1893.1297709923663</v>
      </c>
      <c r="N15" s="718">
        <f t="shared" si="11"/>
        <v>1893.1297709923663</v>
      </c>
      <c r="O15" s="718">
        <f>+Overhead!U53/3</f>
        <v>2595.419847328244</v>
      </c>
      <c r="P15" s="718">
        <f t="shared" ref="P15:Q15" si="28">+O15</f>
        <v>2595.419847328244</v>
      </c>
      <c r="Q15" s="718">
        <f t="shared" si="28"/>
        <v>2595.419847328244</v>
      </c>
      <c r="R15" s="718">
        <f>+Overhead!V53/3</f>
        <v>2595.419847328244</v>
      </c>
      <c r="S15" s="718">
        <f t="shared" ref="S15:T15" si="29">+R15</f>
        <v>2595.419847328244</v>
      </c>
      <c r="T15" s="718">
        <f t="shared" si="29"/>
        <v>2595.419847328244</v>
      </c>
      <c r="U15" s="719">
        <f t="shared" si="14"/>
        <v>38290.076335877864</v>
      </c>
      <c r="V15" s="718"/>
      <c r="W15" s="677">
        <f>+Overhead!W53-U15</f>
        <v>0</v>
      </c>
      <c r="X15" s="676"/>
    </row>
    <row r="16" spans="1:24">
      <c r="A16" s="597" t="s">
        <v>215</v>
      </c>
      <c r="B16" s="680"/>
      <c r="C16" s="718">
        <f>+Overhead!Q58/3</f>
        <v>256.48854961832058</v>
      </c>
      <c r="D16" s="718">
        <f t="shared" ref="D16:E16" si="30">+C16</f>
        <v>256.48854961832058</v>
      </c>
      <c r="E16" s="718">
        <f t="shared" si="30"/>
        <v>256.48854961832058</v>
      </c>
      <c r="F16" s="718">
        <f>+Overhead!R58/3</f>
        <v>256.48854961832058</v>
      </c>
      <c r="G16" s="718">
        <f t="shared" si="6"/>
        <v>256.48854961832058</v>
      </c>
      <c r="H16" s="718">
        <f t="shared" si="7"/>
        <v>256.48854961832058</v>
      </c>
      <c r="I16" s="718">
        <f>+Overhead!S58/3</f>
        <v>256.48854961832058</v>
      </c>
      <c r="J16" s="718">
        <f t="shared" si="8"/>
        <v>256.48854961832058</v>
      </c>
      <c r="K16" s="718">
        <f t="shared" si="9"/>
        <v>256.48854961832058</v>
      </c>
      <c r="L16" s="718">
        <f>+Overhead!T58/3</f>
        <v>256.48854961832058</v>
      </c>
      <c r="M16" s="718">
        <f t="shared" si="10"/>
        <v>256.48854961832058</v>
      </c>
      <c r="N16" s="718">
        <f t="shared" si="11"/>
        <v>256.48854961832058</v>
      </c>
      <c r="O16" s="718">
        <f>+Overhead!U58/3</f>
        <v>641.22137404580144</v>
      </c>
      <c r="P16" s="718">
        <f t="shared" ref="P16:Q16" si="31">+O16</f>
        <v>641.22137404580144</v>
      </c>
      <c r="Q16" s="718">
        <f t="shared" si="31"/>
        <v>641.22137404580144</v>
      </c>
      <c r="R16" s="718">
        <f>+Overhead!V58/3</f>
        <v>641.22137404580144</v>
      </c>
      <c r="S16" s="718">
        <f t="shared" ref="S16:T16" si="32">+R16</f>
        <v>641.22137404580144</v>
      </c>
      <c r="T16" s="718">
        <f t="shared" si="32"/>
        <v>641.22137404580144</v>
      </c>
      <c r="U16" s="719">
        <f t="shared" si="14"/>
        <v>6925.1908396946546</v>
      </c>
      <c r="V16" s="718"/>
      <c r="W16" s="677">
        <f>+Overhead!W58-U16</f>
        <v>0</v>
      </c>
      <c r="X16" s="676"/>
    </row>
    <row r="17" spans="1:24">
      <c r="A17" s="597" t="s">
        <v>216</v>
      </c>
      <c r="B17" s="680"/>
      <c r="C17" s="718">
        <f>+Overhead!Q63/3</f>
        <v>458.01526717557249</v>
      </c>
      <c r="D17" s="718">
        <f t="shared" ref="D17:E18" si="33">+C17</f>
        <v>458.01526717557249</v>
      </c>
      <c r="E17" s="718">
        <f t="shared" si="33"/>
        <v>458.01526717557249</v>
      </c>
      <c r="F17" s="718">
        <f>+Overhead!R63/3</f>
        <v>458.01526717557249</v>
      </c>
      <c r="G17" s="718">
        <f t="shared" si="6"/>
        <v>458.01526717557249</v>
      </c>
      <c r="H17" s="718">
        <f t="shared" si="7"/>
        <v>458.01526717557249</v>
      </c>
      <c r="I17" s="718">
        <f>+Overhead!S63/3</f>
        <v>458.01526717557249</v>
      </c>
      <c r="J17" s="718">
        <f t="shared" si="8"/>
        <v>458.01526717557249</v>
      </c>
      <c r="K17" s="718">
        <f t="shared" si="9"/>
        <v>458.01526717557249</v>
      </c>
      <c r="L17" s="718">
        <f>+Overhead!T63/3</f>
        <v>458.01526717557249</v>
      </c>
      <c r="M17" s="718">
        <f t="shared" si="10"/>
        <v>458.01526717557249</v>
      </c>
      <c r="N17" s="718">
        <f t="shared" si="11"/>
        <v>458.01526717557249</v>
      </c>
      <c r="O17" s="718">
        <f>+Overhead!U63/3</f>
        <v>916.03053435114498</v>
      </c>
      <c r="P17" s="718">
        <f t="shared" ref="P17:Q18" si="34">+O17</f>
        <v>916.03053435114498</v>
      </c>
      <c r="Q17" s="718">
        <f t="shared" si="34"/>
        <v>916.03053435114498</v>
      </c>
      <c r="R17" s="718">
        <f>+Overhead!V63/3</f>
        <v>916.03053435114498</v>
      </c>
      <c r="S17" s="718">
        <f t="shared" ref="S17:T18" si="35">+R17</f>
        <v>916.03053435114498</v>
      </c>
      <c r="T17" s="718">
        <f t="shared" si="35"/>
        <v>916.03053435114498</v>
      </c>
      <c r="U17" s="719">
        <f t="shared" si="14"/>
        <v>10992.366412213736</v>
      </c>
      <c r="V17" s="718"/>
      <c r="W17" s="677">
        <f>+Overhead!W63-U17</f>
        <v>0</v>
      </c>
      <c r="X17" s="676"/>
    </row>
    <row r="18" spans="1:24">
      <c r="A18" s="597" t="s">
        <v>4</v>
      </c>
      <c r="B18" s="680"/>
      <c r="C18" s="721">
        <f>+Overhead!Q68/3</f>
        <v>458.01526717557249</v>
      </c>
      <c r="D18" s="721">
        <f t="shared" si="33"/>
        <v>458.01526717557249</v>
      </c>
      <c r="E18" s="721">
        <f t="shared" si="33"/>
        <v>458.01526717557249</v>
      </c>
      <c r="F18" s="721">
        <f>+Overhead!R68/3</f>
        <v>458.01526717557249</v>
      </c>
      <c r="G18" s="721">
        <f t="shared" ref="G18" si="36">+F18</f>
        <v>458.01526717557249</v>
      </c>
      <c r="H18" s="721">
        <f t="shared" ref="H18" si="37">+G18</f>
        <v>458.01526717557249</v>
      </c>
      <c r="I18" s="721">
        <f>+Overhead!S68/3</f>
        <v>458.01526717557249</v>
      </c>
      <c r="J18" s="721">
        <f t="shared" ref="J18" si="38">+I18</f>
        <v>458.01526717557249</v>
      </c>
      <c r="K18" s="721">
        <f t="shared" ref="K18" si="39">+J18</f>
        <v>458.01526717557249</v>
      </c>
      <c r="L18" s="721">
        <f>+Overhead!T68/3</f>
        <v>458.01526717557249</v>
      </c>
      <c r="M18" s="721">
        <f t="shared" ref="M18" si="40">+L18</f>
        <v>458.01526717557249</v>
      </c>
      <c r="N18" s="721">
        <f t="shared" ref="N18" si="41">+M18</f>
        <v>458.01526717557249</v>
      </c>
      <c r="O18" s="721">
        <f>+Overhead!U68/3</f>
        <v>641.22137404580144</v>
      </c>
      <c r="P18" s="721">
        <f t="shared" si="34"/>
        <v>641.22137404580144</v>
      </c>
      <c r="Q18" s="721">
        <f t="shared" si="34"/>
        <v>641.22137404580144</v>
      </c>
      <c r="R18" s="721">
        <f>+Overhead!V68/3</f>
        <v>641.22137404580144</v>
      </c>
      <c r="S18" s="721">
        <f t="shared" si="35"/>
        <v>641.22137404580144</v>
      </c>
      <c r="T18" s="721">
        <f t="shared" si="35"/>
        <v>641.22137404580144</v>
      </c>
      <c r="U18" s="722">
        <f t="shared" si="14"/>
        <v>9343.5114503816749</v>
      </c>
      <c r="V18" s="721"/>
      <c r="W18" s="677">
        <f>+Overhead!W68-U18</f>
        <v>0</v>
      </c>
      <c r="X18" s="676"/>
    </row>
    <row r="19" spans="1:24">
      <c r="A19" s="686" t="s">
        <v>23</v>
      </c>
      <c r="B19" s="680"/>
      <c r="C19" s="723">
        <f>SUM(C9:C18)</f>
        <v>11184.732824427479</v>
      </c>
      <c r="D19" s="723">
        <f t="shared" ref="D19:N19" si="42">SUM(D9:D18)</f>
        <v>11184.732824427479</v>
      </c>
      <c r="E19" s="723">
        <f t="shared" si="42"/>
        <v>11184.732824427479</v>
      </c>
      <c r="F19" s="723">
        <f t="shared" si="42"/>
        <v>14418.32061068702</v>
      </c>
      <c r="G19" s="723">
        <f t="shared" si="42"/>
        <v>14418.32061068702</v>
      </c>
      <c r="H19" s="723">
        <f t="shared" si="42"/>
        <v>14418.32061068702</v>
      </c>
      <c r="I19" s="723">
        <f t="shared" si="42"/>
        <v>16433.587786259541</v>
      </c>
      <c r="J19" s="723">
        <f t="shared" si="42"/>
        <v>16433.587786259541</v>
      </c>
      <c r="K19" s="723">
        <f t="shared" si="42"/>
        <v>16433.587786259541</v>
      </c>
      <c r="L19" s="723">
        <f t="shared" si="42"/>
        <v>18723.664122137401</v>
      </c>
      <c r="M19" s="723">
        <f t="shared" si="42"/>
        <v>18723.664122137401</v>
      </c>
      <c r="N19" s="723">
        <f t="shared" si="42"/>
        <v>18723.664122137401</v>
      </c>
      <c r="O19" s="723">
        <f>SUM(O9:O18)</f>
        <v>27408.86018137927</v>
      </c>
      <c r="P19" s="723">
        <f t="shared" ref="P19:U19" si="43">SUM(P9:P18)</f>
        <v>27408.86018137927</v>
      </c>
      <c r="Q19" s="723">
        <f t="shared" si="43"/>
        <v>27408.86018137927</v>
      </c>
      <c r="R19" s="723">
        <f t="shared" si="43"/>
        <v>27775.272395119726</v>
      </c>
      <c r="S19" s="723">
        <f t="shared" si="43"/>
        <v>27775.272395119726</v>
      </c>
      <c r="T19" s="723">
        <f t="shared" si="43"/>
        <v>27775.272395119726</v>
      </c>
      <c r="U19" s="724">
        <f t="shared" si="43"/>
        <v>347833.31376003125</v>
      </c>
      <c r="V19" s="723"/>
      <c r="W19" s="677">
        <f>+Overhead!W73-U19</f>
        <v>0</v>
      </c>
      <c r="X19" s="676"/>
    </row>
    <row r="20" spans="1:24">
      <c r="B20" s="680"/>
      <c r="C20" s="718"/>
      <c r="D20" s="718"/>
      <c r="E20" s="718"/>
      <c r="F20" s="718"/>
      <c r="G20" s="718"/>
      <c r="H20" s="718"/>
      <c r="I20" s="718"/>
      <c r="J20" s="718"/>
      <c r="K20" s="718"/>
      <c r="L20" s="718"/>
      <c r="M20" s="718"/>
      <c r="N20" s="718"/>
      <c r="O20" s="718"/>
      <c r="P20" s="718"/>
      <c r="Q20" s="718"/>
      <c r="R20" s="718"/>
      <c r="S20" s="718"/>
      <c r="T20" s="718"/>
      <c r="U20" s="719"/>
      <c r="V20" s="718"/>
      <c r="W20" s="720"/>
      <c r="X20" s="676"/>
    </row>
    <row r="21" spans="1:24">
      <c r="B21" s="680"/>
      <c r="C21" s="718"/>
      <c r="D21" s="718"/>
      <c r="E21" s="718"/>
      <c r="F21" s="718"/>
      <c r="G21" s="718"/>
      <c r="H21" s="718"/>
      <c r="I21" s="718"/>
      <c r="J21" s="718"/>
      <c r="K21" s="718"/>
      <c r="L21" s="718"/>
      <c r="M21" s="718"/>
      <c r="N21" s="718"/>
      <c r="O21" s="718"/>
      <c r="P21" s="718"/>
      <c r="Q21" s="718"/>
      <c r="R21" s="718"/>
      <c r="S21" s="718"/>
      <c r="T21" s="718"/>
      <c r="U21" s="719"/>
      <c r="V21" s="718"/>
      <c r="W21" s="720"/>
      <c r="X21" s="676"/>
    </row>
    <row r="22" spans="1:24" ht="15">
      <c r="A22" s="685" t="s">
        <v>2</v>
      </c>
      <c r="B22" s="680"/>
      <c r="C22" s="718"/>
      <c r="D22" s="718"/>
      <c r="E22" s="718"/>
      <c r="F22" s="718"/>
      <c r="G22" s="718"/>
      <c r="H22" s="718"/>
      <c r="I22" s="718"/>
      <c r="J22" s="718"/>
      <c r="K22" s="718"/>
      <c r="L22" s="718"/>
      <c r="M22" s="718"/>
      <c r="N22" s="718"/>
      <c r="O22" s="718"/>
      <c r="P22" s="718"/>
      <c r="Q22" s="718"/>
      <c r="R22" s="718"/>
      <c r="S22" s="718"/>
      <c r="T22" s="718"/>
      <c r="U22" s="719"/>
      <c r="V22" s="718"/>
      <c r="W22" s="720"/>
      <c r="X22" s="676"/>
    </row>
    <row r="23" spans="1:24">
      <c r="A23" s="597" t="s">
        <v>461</v>
      </c>
      <c r="B23" s="680"/>
      <c r="C23" s="723">
        <f>+'Sales &amp; Marketing'!B17</f>
        <v>650</v>
      </c>
      <c r="D23" s="723">
        <f>+'Sales &amp; Marketing'!C17</f>
        <v>850</v>
      </c>
      <c r="E23" s="723">
        <f>+'Sales &amp; Marketing'!D17</f>
        <v>1550</v>
      </c>
      <c r="F23" s="723">
        <f>+'Sales &amp; Marketing'!E17</f>
        <v>2500</v>
      </c>
      <c r="G23" s="723">
        <f>+'Sales &amp; Marketing'!F17</f>
        <v>1450</v>
      </c>
      <c r="H23" s="723">
        <f>+'Sales &amp; Marketing'!G17</f>
        <v>1650</v>
      </c>
      <c r="I23" s="723">
        <f>+'Sales &amp; Marketing'!H17</f>
        <v>1850</v>
      </c>
      <c r="J23" s="723">
        <f>+'Sales &amp; Marketing'!I17</f>
        <v>2350</v>
      </c>
      <c r="K23" s="723">
        <f>+'Sales &amp; Marketing'!J17</f>
        <v>2850</v>
      </c>
      <c r="L23" s="723">
        <f>+'Sales &amp; Marketing'!K17</f>
        <v>5450</v>
      </c>
      <c r="M23" s="723">
        <f>+'Sales &amp; Marketing'!L17</f>
        <v>2650</v>
      </c>
      <c r="N23" s="723">
        <f>+'Sales &amp; Marketing'!M17</f>
        <v>2850</v>
      </c>
      <c r="O23" s="723">
        <f>+'Sales &amp; Marketing'!N17</f>
        <v>3100</v>
      </c>
      <c r="P23" s="723">
        <f>+'Sales &amp; Marketing'!O17</f>
        <v>3800</v>
      </c>
      <c r="Q23" s="723">
        <f>+'Sales &amp; Marketing'!P17</f>
        <v>3500</v>
      </c>
      <c r="R23" s="723">
        <f>+'Sales &amp; Marketing'!Q17</f>
        <v>6280</v>
      </c>
      <c r="S23" s="723">
        <f>+'Sales &amp; Marketing'!R17</f>
        <v>3900</v>
      </c>
      <c r="T23" s="723">
        <f>+'Sales &amp; Marketing'!S17</f>
        <v>4100</v>
      </c>
      <c r="U23" s="724">
        <f>SUM(C23:T23)</f>
        <v>51330</v>
      </c>
      <c r="V23" s="718"/>
      <c r="W23" s="677">
        <f>+'Sales &amp; Marketing'!T17-U23</f>
        <v>0</v>
      </c>
      <c r="X23" s="676"/>
    </row>
    <row r="24" spans="1:24">
      <c r="B24" s="680"/>
      <c r="C24" s="718"/>
      <c r="D24" s="718"/>
      <c r="E24" s="718"/>
      <c r="F24" s="718"/>
      <c r="G24" s="718"/>
      <c r="H24" s="718"/>
      <c r="I24" s="718"/>
      <c r="J24" s="718"/>
      <c r="K24" s="718"/>
      <c r="L24" s="718"/>
      <c r="M24" s="718"/>
      <c r="N24" s="718"/>
      <c r="O24" s="718"/>
      <c r="P24" s="718"/>
      <c r="Q24" s="718"/>
      <c r="R24" s="718"/>
      <c r="S24" s="718"/>
      <c r="T24" s="718"/>
      <c r="U24" s="719"/>
      <c r="V24" s="718"/>
      <c r="W24" s="677"/>
      <c r="X24" s="676"/>
    </row>
    <row r="25" spans="1:24" ht="15">
      <c r="A25" s="685" t="s">
        <v>323</v>
      </c>
      <c r="B25" s="680"/>
      <c r="C25" s="718"/>
      <c r="D25" s="718"/>
      <c r="E25" s="718"/>
      <c r="F25" s="718"/>
      <c r="G25" s="718"/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8"/>
      <c r="U25" s="719"/>
      <c r="V25" s="718"/>
      <c r="W25" s="677"/>
      <c r="X25" s="676"/>
    </row>
    <row r="26" spans="1:24">
      <c r="A26" s="597" t="s">
        <v>162</v>
      </c>
      <c r="B26" s="680"/>
      <c r="C26" s="718">
        <f>+Payroll!S26</f>
        <v>22517.251908396946</v>
      </c>
      <c r="D26" s="718">
        <f>+Payroll!T26</f>
        <v>22517.251908396946</v>
      </c>
      <c r="E26" s="718">
        <f>+Payroll!U26</f>
        <v>31958.625954198469</v>
      </c>
      <c r="F26" s="718">
        <f>+Payroll!V26</f>
        <v>31958.625954198469</v>
      </c>
      <c r="G26" s="718">
        <f>+Payroll!W26</f>
        <v>31958.625954198469</v>
      </c>
      <c r="H26" s="718">
        <f>+Payroll!X26</f>
        <v>42490.351145038163</v>
      </c>
      <c r="I26" s="718">
        <f>+Payroll!Y26</f>
        <v>50419.816793893122</v>
      </c>
      <c r="J26" s="718">
        <f>+Payroll!Z26</f>
        <v>60951.541984732816</v>
      </c>
      <c r="K26" s="718">
        <f>+Payroll!AA26</f>
        <v>60951.541984732816</v>
      </c>
      <c r="L26" s="718">
        <f>+Payroll!AB26</f>
        <v>60951.541984732816</v>
      </c>
      <c r="M26" s="718">
        <f>+Payroll!AC26</f>
        <v>60951.541984732816</v>
      </c>
      <c r="N26" s="718">
        <f>+Payroll!AD26</f>
        <v>64949.496183206094</v>
      </c>
      <c r="O26" s="718">
        <f>+Payroll!AE26</f>
        <v>64949.496183206094</v>
      </c>
      <c r="P26" s="718">
        <f>+Payroll!AF26</f>
        <v>69492.625954198462</v>
      </c>
      <c r="Q26" s="718">
        <f>+Payroll!AG26</f>
        <v>69492.625954198462</v>
      </c>
      <c r="R26" s="718">
        <f>+Payroll!AH26</f>
        <v>69492.625954198462</v>
      </c>
      <c r="S26" s="718">
        <f>+Payroll!AI26</f>
        <v>69492.625954198462</v>
      </c>
      <c r="T26" s="718">
        <f>+Payroll!AJ26</f>
        <v>69492.625954198462</v>
      </c>
      <c r="U26" s="719">
        <f t="shared" ref="U26:U27" si="44">SUM(C26:T26)</f>
        <v>954988.8396946562</v>
      </c>
      <c r="V26" s="718"/>
      <c r="W26" s="677">
        <f>+Payroll!AK26-U26</f>
        <v>0</v>
      </c>
      <c r="X26" s="676"/>
    </row>
    <row r="27" spans="1:24">
      <c r="B27" s="680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2">
        <f t="shared" si="44"/>
        <v>0</v>
      </c>
      <c r="V27" s="718"/>
      <c r="W27" s="677"/>
      <c r="X27" s="676"/>
    </row>
    <row r="28" spans="1:24">
      <c r="B28" s="680"/>
      <c r="C28" s="723">
        <f t="shared" ref="C28:U28" si="45">+C26+C27</f>
        <v>22517.251908396946</v>
      </c>
      <c r="D28" s="723">
        <f t="shared" si="45"/>
        <v>22517.251908396946</v>
      </c>
      <c r="E28" s="723">
        <f t="shared" si="45"/>
        <v>31958.625954198469</v>
      </c>
      <c r="F28" s="723">
        <f t="shared" si="45"/>
        <v>31958.625954198469</v>
      </c>
      <c r="G28" s="723">
        <f t="shared" si="45"/>
        <v>31958.625954198469</v>
      </c>
      <c r="H28" s="723">
        <f t="shared" si="45"/>
        <v>42490.351145038163</v>
      </c>
      <c r="I28" s="723">
        <f t="shared" si="45"/>
        <v>50419.816793893122</v>
      </c>
      <c r="J28" s="723">
        <f t="shared" si="45"/>
        <v>60951.541984732816</v>
      </c>
      <c r="K28" s="723">
        <f t="shared" si="45"/>
        <v>60951.541984732816</v>
      </c>
      <c r="L28" s="723">
        <f t="shared" si="45"/>
        <v>60951.541984732816</v>
      </c>
      <c r="M28" s="723">
        <f t="shared" si="45"/>
        <v>60951.541984732816</v>
      </c>
      <c r="N28" s="723">
        <f t="shared" si="45"/>
        <v>64949.496183206094</v>
      </c>
      <c r="O28" s="723">
        <f t="shared" si="45"/>
        <v>64949.496183206094</v>
      </c>
      <c r="P28" s="723">
        <f t="shared" si="45"/>
        <v>69492.625954198462</v>
      </c>
      <c r="Q28" s="723">
        <f t="shared" si="45"/>
        <v>69492.625954198462</v>
      </c>
      <c r="R28" s="723">
        <f t="shared" si="45"/>
        <v>69492.625954198462</v>
      </c>
      <c r="S28" s="723">
        <f t="shared" si="45"/>
        <v>69492.625954198462</v>
      </c>
      <c r="T28" s="723">
        <f t="shared" si="45"/>
        <v>69492.625954198462</v>
      </c>
      <c r="U28" s="724">
        <f t="shared" si="45"/>
        <v>954988.8396946562</v>
      </c>
      <c r="V28" s="718"/>
      <c r="W28" s="677"/>
      <c r="X28" s="676"/>
    </row>
    <row r="29" spans="1:24" ht="15">
      <c r="A29" s="685" t="s">
        <v>4</v>
      </c>
      <c r="B29" s="680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9"/>
      <c r="V29" s="718"/>
      <c r="W29" s="677"/>
      <c r="X29" s="676"/>
    </row>
    <row r="30" spans="1:24">
      <c r="A30" s="597" t="s">
        <v>388</v>
      </c>
      <c r="B30" s="680"/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>
        <v>10000</v>
      </c>
      <c r="P30" s="830"/>
      <c r="Q30" s="830"/>
      <c r="R30" s="830"/>
      <c r="S30" s="830"/>
      <c r="T30" s="830"/>
      <c r="U30" s="719">
        <f t="shared" ref="U30:U32" si="46">SUM(C30:T30)</f>
        <v>10000</v>
      </c>
      <c r="V30" s="718"/>
      <c r="W30" s="677"/>
      <c r="X30" s="676"/>
    </row>
    <row r="31" spans="1:24">
      <c r="A31" s="597" t="s">
        <v>389</v>
      </c>
      <c r="B31" s="680"/>
      <c r="C31" s="830"/>
      <c r="D31" s="830"/>
      <c r="E31" s="830"/>
      <c r="F31" s="830">
        <v>300</v>
      </c>
      <c r="G31" s="830"/>
      <c r="H31" s="830"/>
      <c r="I31" s="830">
        <f>+F31</f>
        <v>300</v>
      </c>
      <c r="J31" s="830"/>
      <c r="K31" s="830"/>
      <c r="L31" s="830">
        <f>+I31</f>
        <v>300</v>
      </c>
      <c r="M31" s="830"/>
      <c r="N31" s="830"/>
      <c r="O31" s="830"/>
      <c r="P31" s="830"/>
      <c r="Q31" s="830"/>
      <c r="R31" s="830">
        <v>3000</v>
      </c>
      <c r="S31" s="830"/>
      <c r="T31" s="830"/>
      <c r="U31" s="719">
        <f t="shared" si="46"/>
        <v>3900</v>
      </c>
      <c r="V31" s="718"/>
      <c r="W31" s="677"/>
      <c r="X31" s="676"/>
    </row>
    <row r="32" spans="1:24">
      <c r="A32" s="597" t="s">
        <v>390</v>
      </c>
      <c r="B32" s="680"/>
      <c r="C32" s="831"/>
      <c r="D32" s="831"/>
      <c r="E32" s="831"/>
      <c r="F32" s="831"/>
      <c r="G32" s="831"/>
      <c r="H32" s="831"/>
      <c r="I32" s="831"/>
      <c r="J32" s="831"/>
      <c r="K32" s="831"/>
      <c r="L32" s="831"/>
      <c r="M32" s="831"/>
      <c r="N32" s="831"/>
      <c r="O32" s="831"/>
      <c r="P32" s="831">
        <v>10000</v>
      </c>
      <c r="Q32" s="831"/>
      <c r="R32" s="831"/>
      <c r="S32" s="831"/>
      <c r="T32" s="831"/>
      <c r="U32" s="722">
        <f t="shared" si="46"/>
        <v>10000</v>
      </c>
      <c r="V32" s="718"/>
      <c r="W32" s="677"/>
      <c r="X32" s="676"/>
    </row>
    <row r="33" spans="1:24">
      <c r="B33" s="680"/>
      <c r="C33" s="723">
        <f>SUM(C30:C32)</f>
        <v>0</v>
      </c>
      <c r="D33" s="723">
        <f t="shared" ref="D33:N33" si="47">SUM(D30:D32)</f>
        <v>0</v>
      </c>
      <c r="E33" s="723">
        <f t="shared" si="47"/>
        <v>0</v>
      </c>
      <c r="F33" s="723">
        <f t="shared" si="47"/>
        <v>300</v>
      </c>
      <c r="G33" s="723">
        <f t="shared" si="47"/>
        <v>0</v>
      </c>
      <c r="H33" s="723">
        <f t="shared" si="47"/>
        <v>0</v>
      </c>
      <c r="I33" s="723">
        <f t="shared" si="47"/>
        <v>300</v>
      </c>
      <c r="J33" s="723">
        <f t="shared" si="47"/>
        <v>0</v>
      </c>
      <c r="K33" s="723">
        <f t="shared" si="47"/>
        <v>0</v>
      </c>
      <c r="L33" s="723">
        <f t="shared" si="47"/>
        <v>300</v>
      </c>
      <c r="M33" s="723">
        <f t="shared" si="47"/>
        <v>0</v>
      </c>
      <c r="N33" s="723">
        <f t="shared" si="47"/>
        <v>0</v>
      </c>
      <c r="O33" s="723">
        <f>SUM(O30:O32)</f>
        <v>10000</v>
      </c>
      <c r="P33" s="723">
        <f t="shared" ref="P33:T33" si="48">SUM(P30:P32)</f>
        <v>10000</v>
      </c>
      <c r="Q33" s="723">
        <f t="shared" si="48"/>
        <v>0</v>
      </c>
      <c r="R33" s="723">
        <f t="shared" si="48"/>
        <v>3000</v>
      </c>
      <c r="S33" s="723">
        <f t="shared" si="48"/>
        <v>0</v>
      </c>
      <c r="T33" s="723">
        <f t="shared" si="48"/>
        <v>0</v>
      </c>
      <c r="U33" s="724">
        <f>SUM(U30:U32)</f>
        <v>23900</v>
      </c>
      <c r="V33" s="718"/>
      <c r="W33" s="677"/>
      <c r="X33" s="676"/>
    </row>
    <row r="34" spans="1:24">
      <c r="B34" s="680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9"/>
      <c r="V34" s="718"/>
      <c r="W34" s="677"/>
      <c r="X34" s="676"/>
    </row>
    <row r="35" spans="1:24">
      <c r="A35" s="687" t="s">
        <v>6</v>
      </c>
      <c r="B35" s="680"/>
      <c r="C35" s="726">
        <f t="shared" ref="C35:T35" si="49">-(+C33+C28+C23+C19)</f>
        <v>-34351.984732824421</v>
      </c>
      <c r="D35" s="726">
        <f t="shared" si="49"/>
        <v>-34551.984732824421</v>
      </c>
      <c r="E35" s="726">
        <f t="shared" si="49"/>
        <v>-44693.358778625945</v>
      </c>
      <c r="F35" s="726">
        <f t="shared" si="49"/>
        <v>-49176.946564885489</v>
      </c>
      <c r="G35" s="726">
        <f t="shared" si="49"/>
        <v>-47826.946564885489</v>
      </c>
      <c r="H35" s="726">
        <f t="shared" si="49"/>
        <v>-58558.671755725183</v>
      </c>
      <c r="I35" s="726">
        <f t="shared" si="49"/>
        <v>-69003.404580152666</v>
      </c>
      <c r="J35" s="726">
        <f t="shared" si="49"/>
        <v>-79735.129770992353</v>
      </c>
      <c r="K35" s="726">
        <f t="shared" si="49"/>
        <v>-80235.129770992353</v>
      </c>
      <c r="L35" s="726">
        <f t="shared" si="49"/>
        <v>-85425.206106870217</v>
      </c>
      <c r="M35" s="726">
        <f t="shared" si="49"/>
        <v>-82325.206106870217</v>
      </c>
      <c r="N35" s="726">
        <f t="shared" si="49"/>
        <v>-86523.160305343496</v>
      </c>
      <c r="O35" s="726">
        <f t="shared" si="49"/>
        <v>-105458.35636458537</v>
      </c>
      <c r="P35" s="726">
        <f t="shared" si="49"/>
        <v>-110701.48613557772</v>
      </c>
      <c r="Q35" s="726">
        <f t="shared" si="49"/>
        <v>-100401.48613557772</v>
      </c>
      <c r="R35" s="726">
        <f t="shared" si="49"/>
        <v>-106547.89834931819</v>
      </c>
      <c r="S35" s="726">
        <f t="shared" si="49"/>
        <v>-101167.89834931819</v>
      </c>
      <c r="T35" s="726">
        <f t="shared" si="49"/>
        <v>-101367.89834931819</v>
      </c>
      <c r="U35" s="726">
        <f t="shared" ref="U35:U36" si="50">SUM(C35:T35)</f>
        <v>-1378052.1534546874</v>
      </c>
      <c r="V35" s="718"/>
      <c r="W35" s="677"/>
      <c r="X35" s="676"/>
    </row>
    <row r="36" spans="1:24">
      <c r="A36" s="688" t="s">
        <v>0</v>
      </c>
      <c r="B36" s="680"/>
      <c r="C36" s="727">
        <f>+Sales!B30</f>
        <v>550</v>
      </c>
      <c r="D36" s="727">
        <f>+Sales!C30</f>
        <v>1300</v>
      </c>
      <c r="E36" s="727">
        <f>+Sales!D30</f>
        <v>1900</v>
      </c>
      <c r="F36" s="727">
        <f>+Sales!E30</f>
        <v>3000</v>
      </c>
      <c r="G36" s="727">
        <f>+Sales!F30</f>
        <v>4050</v>
      </c>
      <c r="H36" s="727">
        <f>+Sales!G30</f>
        <v>5850</v>
      </c>
      <c r="I36" s="727">
        <f>+Sales!H30</f>
        <v>7650</v>
      </c>
      <c r="J36" s="727">
        <f>+Sales!I30</f>
        <v>9650</v>
      </c>
      <c r="K36" s="727">
        <f>+Sales!J30</f>
        <v>12000</v>
      </c>
      <c r="L36" s="727">
        <f>+Sales!K30</f>
        <v>14550</v>
      </c>
      <c r="M36" s="727">
        <f>+Sales!L30</f>
        <v>17750</v>
      </c>
      <c r="N36" s="727">
        <f>+Sales!M30</f>
        <v>21200</v>
      </c>
      <c r="O36" s="727">
        <f>+Sales!N30</f>
        <v>24600</v>
      </c>
      <c r="P36" s="727">
        <f>+Sales!O30</f>
        <v>28700</v>
      </c>
      <c r="Q36" s="727">
        <f>+Sales!P30</f>
        <v>33050</v>
      </c>
      <c r="R36" s="727">
        <f>+Sales!Q30</f>
        <v>38250</v>
      </c>
      <c r="S36" s="727">
        <f>+Sales!R30</f>
        <v>43850</v>
      </c>
      <c r="T36" s="727">
        <f>+Sales!S30</f>
        <v>51450</v>
      </c>
      <c r="U36" s="727">
        <f t="shared" si="50"/>
        <v>319350</v>
      </c>
      <c r="V36" s="718"/>
      <c r="W36" s="677">
        <f>+Sales!T30-U36</f>
        <v>0</v>
      </c>
      <c r="X36" s="676"/>
    </row>
    <row r="37" spans="1:24">
      <c r="A37" s="686" t="s">
        <v>391</v>
      </c>
      <c r="B37" s="680"/>
      <c r="C37" s="725">
        <f>+C35+C36</f>
        <v>-33801.984732824421</v>
      </c>
      <c r="D37" s="725">
        <f t="shared" ref="D37:N37" si="51">+D35+D36</f>
        <v>-33251.984732824421</v>
      </c>
      <c r="E37" s="725">
        <f t="shared" si="51"/>
        <v>-42793.358778625945</v>
      </c>
      <c r="F37" s="725">
        <f t="shared" si="51"/>
        <v>-46176.946564885489</v>
      </c>
      <c r="G37" s="725">
        <f t="shared" si="51"/>
        <v>-43776.946564885489</v>
      </c>
      <c r="H37" s="725">
        <f t="shared" si="51"/>
        <v>-52708.671755725183</v>
      </c>
      <c r="I37" s="725">
        <f t="shared" si="51"/>
        <v>-61353.404580152666</v>
      </c>
      <c r="J37" s="725">
        <f t="shared" si="51"/>
        <v>-70085.129770992353</v>
      </c>
      <c r="K37" s="725">
        <f t="shared" si="51"/>
        <v>-68235.129770992353</v>
      </c>
      <c r="L37" s="725">
        <f t="shared" si="51"/>
        <v>-70875.206106870217</v>
      </c>
      <c r="M37" s="725">
        <f t="shared" si="51"/>
        <v>-64575.206106870217</v>
      </c>
      <c r="N37" s="725">
        <f t="shared" si="51"/>
        <v>-65323.160305343496</v>
      </c>
      <c r="O37" s="725">
        <f>+O35+O36</f>
        <v>-80858.356364585372</v>
      </c>
      <c r="P37" s="725">
        <f t="shared" ref="P37:T37" si="52">+P35+P36</f>
        <v>-82001.486135577725</v>
      </c>
      <c r="Q37" s="725">
        <f t="shared" si="52"/>
        <v>-67351.486135577725</v>
      </c>
      <c r="R37" s="725">
        <f t="shared" si="52"/>
        <v>-68297.898349318188</v>
      </c>
      <c r="S37" s="725">
        <f t="shared" si="52"/>
        <v>-57317.898349318188</v>
      </c>
      <c r="T37" s="725">
        <f t="shared" si="52"/>
        <v>-49917.898349318188</v>
      </c>
      <c r="U37" s="725">
        <f>+U35+U36</f>
        <v>-1058702.1534546874</v>
      </c>
      <c r="V37" s="718"/>
      <c r="W37" s="677"/>
      <c r="X37" s="676"/>
    </row>
    <row r="38" spans="1:24">
      <c r="B38" s="680"/>
      <c r="C38" s="718"/>
      <c r="D38" s="718"/>
      <c r="E38" s="718"/>
      <c r="F38" s="718"/>
      <c r="G38" s="718"/>
      <c r="H38" s="718"/>
      <c r="I38" s="718"/>
      <c r="J38" s="718"/>
      <c r="K38" s="718"/>
      <c r="L38" s="718"/>
      <c r="M38" s="718"/>
      <c r="N38" s="718"/>
      <c r="O38" s="718"/>
      <c r="P38" s="718"/>
      <c r="Q38" s="718"/>
      <c r="R38" s="718"/>
      <c r="S38" s="718"/>
      <c r="T38" s="718"/>
      <c r="U38" s="718"/>
      <c r="V38" s="718"/>
      <c r="W38" s="677"/>
      <c r="X38" s="676"/>
    </row>
    <row r="39" spans="1:24" s="683" customFormat="1">
      <c r="A39" s="682" t="s">
        <v>392</v>
      </c>
      <c r="B39" s="680"/>
      <c r="C39" s="713">
        <f t="shared" ref="C39:U39" si="53">+C5+C6+C37</f>
        <v>166198.01526717556</v>
      </c>
      <c r="D39" s="713">
        <f t="shared" si="53"/>
        <v>132946.03053435113</v>
      </c>
      <c r="E39" s="713">
        <f t="shared" si="53"/>
        <v>90152.671755725183</v>
      </c>
      <c r="F39" s="713">
        <f t="shared" si="53"/>
        <v>43975.725190839694</v>
      </c>
      <c r="G39" s="713">
        <f t="shared" si="53"/>
        <v>198.77862595420447</v>
      </c>
      <c r="H39" s="713">
        <f t="shared" si="53"/>
        <v>1447490.1068702289</v>
      </c>
      <c r="I39" s="713">
        <f t="shared" si="53"/>
        <v>1386136.7022900763</v>
      </c>
      <c r="J39" s="713">
        <f t="shared" si="53"/>
        <v>1316051.572519084</v>
      </c>
      <c r="K39" s="713">
        <f t="shared" si="53"/>
        <v>1247816.4427480916</v>
      </c>
      <c r="L39" s="713">
        <f t="shared" si="53"/>
        <v>1176941.2366412214</v>
      </c>
      <c r="M39" s="713">
        <f t="shared" si="53"/>
        <v>1112366.0305343512</v>
      </c>
      <c r="N39" s="713">
        <f t="shared" si="53"/>
        <v>1047042.8702290078</v>
      </c>
      <c r="O39" s="713">
        <f t="shared" si="53"/>
        <v>966184.51386442245</v>
      </c>
      <c r="P39" s="713">
        <f t="shared" si="53"/>
        <v>884183.02772884467</v>
      </c>
      <c r="Q39" s="713">
        <f t="shared" si="53"/>
        <v>816831.54159326688</v>
      </c>
      <c r="R39" s="713">
        <f t="shared" si="53"/>
        <v>748533.6432439487</v>
      </c>
      <c r="S39" s="713">
        <f t="shared" si="53"/>
        <v>691215.74489463051</v>
      </c>
      <c r="T39" s="713">
        <f t="shared" si="53"/>
        <v>641297.84654531232</v>
      </c>
      <c r="U39" s="728">
        <f t="shared" si="53"/>
        <v>641297.84654531255</v>
      </c>
      <c r="V39" s="714"/>
      <c r="W39" s="677"/>
      <c r="X39" s="676"/>
    </row>
    <row r="40" spans="1:24">
      <c r="B40" s="680"/>
      <c r="C40" s="718"/>
      <c r="D40" s="718"/>
      <c r="E40" s="718"/>
      <c r="F40" s="718"/>
      <c r="G40" s="718"/>
      <c r="H40" s="718"/>
      <c r="I40" s="718"/>
      <c r="J40" s="718"/>
      <c r="K40" s="718"/>
      <c r="L40" s="718"/>
      <c r="M40" s="718"/>
      <c r="N40" s="718"/>
      <c r="O40" s="718"/>
      <c r="P40" s="718"/>
      <c r="Q40" s="718"/>
      <c r="R40" s="718"/>
      <c r="S40" s="718"/>
      <c r="T40" s="718"/>
      <c r="U40" s="718"/>
      <c r="V40" s="718"/>
      <c r="W40" s="677"/>
      <c r="X40" s="676"/>
    </row>
    <row r="41" spans="1:24">
      <c r="B41" s="680"/>
      <c r="C41" s="676"/>
      <c r="D41" s="676"/>
      <c r="E41" s="676"/>
      <c r="F41" s="676"/>
      <c r="G41" s="676"/>
      <c r="H41" s="676"/>
      <c r="I41" s="676"/>
      <c r="J41" s="676"/>
      <c r="K41" s="676"/>
      <c r="L41" s="676"/>
      <c r="M41" s="676"/>
      <c r="N41" s="676"/>
      <c r="O41" s="676"/>
      <c r="P41" s="676"/>
      <c r="Q41" s="718"/>
      <c r="R41" s="718"/>
      <c r="S41" s="718"/>
      <c r="T41" s="718"/>
      <c r="U41" s="718"/>
      <c r="V41" s="718"/>
      <c r="W41" s="677"/>
      <c r="X41" s="676"/>
    </row>
    <row r="42" spans="1:24">
      <c r="C42" s="676"/>
      <c r="D42" s="676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18"/>
      <c r="P42" s="718"/>
      <c r="Q42" s="718"/>
      <c r="R42" s="718"/>
      <c r="S42" s="718"/>
      <c r="T42" s="718"/>
      <c r="U42" s="718"/>
      <c r="V42" s="718"/>
      <c r="W42" s="720"/>
      <c r="X42" s="676"/>
    </row>
    <row r="43" spans="1:24">
      <c r="C43" s="676"/>
      <c r="D43" s="676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676"/>
      <c r="P43" s="676"/>
      <c r="Q43" s="676"/>
      <c r="R43" s="676"/>
      <c r="S43" s="676"/>
      <c r="T43" s="676"/>
      <c r="U43" s="676"/>
      <c r="V43" s="676"/>
      <c r="W43" s="720"/>
      <c r="X43" s="676"/>
    </row>
    <row r="44" spans="1:24">
      <c r="A44" s="541"/>
      <c r="B44" s="680"/>
      <c r="C44" s="676"/>
      <c r="D44" s="676"/>
      <c r="E44" s="676"/>
      <c r="F44" s="676"/>
      <c r="G44" s="676"/>
      <c r="H44" s="676"/>
      <c r="I44" s="676"/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720"/>
      <c r="X44" s="676"/>
    </row>
    <row r="45" spans="1:24">
      <c r="A45" s="689"/>
      <c r="B45" s="680"/>
      <c r="C45" s="676"/>
      <c r="D45" s="676"/>
      <c r="E45" s="676"/>
      <c r="F45" s="676"/>
      <c r="G45" s="676"/>
      <c r="H45" s="676"/>
      <c r="I45" s="676"/>
      <c r="J45" s="676"/>
      <c r="K45" s="676"/>
      <c r="L45" s="676"/>
      <c r="M45" s="676"/>
      <c r="N45" s="676"/>
      <c r="O45" s="676"/>
      <c r="P45" s="676"/>
      <c r="Q45" s="676"/>
      <c r="R45" s="676"/>
      <c r="S45" s="676"/>
      <c r="T45" s="676"/>
      <c r="U45" s="676"/>
      <c r="V45" s="676"/>
      <c r="W45" s="720"/>
      <c r="X45" s="676"/>
    </row>
    <row r="46" spans="1:24">
      <c r="B46" s="680"/>
      <c r="C46" s="676"/>
    </row>
    <row r="47" spans="1:24">
      <c r="B47" s="680"/>
      <c r="C47" s="676"/>
    </row>
    <row r="48" spans="1:24">
      <c r="B48" s="680"/>
      <c r="C48" s="676"/>
    </row>
    <row r="49" spans="2:3">
      <c r="B49" s="680"/>
      <c r="C49" s="676"/>
    </row>
    <row r="50" spans="2:3">
      <c r="B50" s="680"/>
      <c r="C50" s="676"/>
    </row>
    <row r="51" spans="2:3">
      <c r="B51" s="680"/>
      <c r="C51" s="676"/>
    </row>
    <row r="52" spans="2:3">
      <c r="B52" s="680"/>
      <c r="C52" s="676"/>
    </row>
    <row r="53" spans="2:3">
      <c r="B53" s="680"/>
      <c r="C53" s="676"/>
    </row>
    <row r="54" spans="2:3">
      <c r="B54" s="680"/>
    </row>
    <row r="55" spans="2:3">
      <c r="B55" s="680"/>
    </row>
    <row r="73" spans="1:20">
      <c r="A73" s="597" t="s">
        <v>293</v>
      </c>
      <c r="B73" s="680">
        <v>1</v>
      </c>
      <c r="C73" s="680">
        <v>2</v>
      </c>
      <c r="D73" s="680">
        <v>3</v>
      </c>
      <c r="E73" s="680">
        <v>4</v>
      </c>
      <c r="F73" s="680">
        <v>5</v>
      </c>
      <c r="G73" s="680">
        <v>6</v>
      </c>
      <c r="H73" s="680">
        <v>7</v>
      </c>
      <c r="I73" s="680">
        <v>8</v>
      </c>
      <c r="J73" s="680">
        <v>9</v>
      </c>
      <c r="K73" s="680">
        <v>10</v>
      </c>
      <c r="L73" s="680">
        <v>11</v>
      </c>
      <c r="M73" s="680">
        <v>12</v>
      </c>
      <c r="N73" s="680">
        <v>13</v>
      </c>
      <c r="O73" s="680">
        <v>16</v>
      </c>
      <c r="P73" s="680">
        <v>17</v>
      </c>
      <c r="Q73" s="680">
        <v>18</v>
      </c>
    </row>
    <row r="74" spans="1:20">
      <c r="A74" s="597" t="s">
        <v>464</v>
      </c>
      <c r="B74" s="736">
        <f t="shared" ref="B74:M74" si="54">+C36</f>
        <v>550</v>
      </c>
      <c r="C74" s="736">
        <f t="shared" si="54"/>
        <v>1300</v>
      </c>
      <c r="D74" s="736">
        <f t="shared" si="54"/>
        <v>1900</v>
      </c>
      <c r="E74" s="736">
        <f t="shared" si="54"/>
        <v>3000</v>
      </c>
      <c r="F74" s="736">
        <f t="shared" si="54"/>
        <v>4050</v>
      </c>
      <c r="G74" s="736">
        <f t="shared" si="54"/>
        <v>5850</v>
      </c>
      <c r="H74" s="736">
        <f t="shared" si="54"/>
        <v>7650</v>
      </c>
      <c r="I74" s="736">
        <f t="shared" si="54"/>
        <v>9650</v>
      </c>
      <c r="J74" s="736">
        <f t="shared" si="54"/>
        <v>12000</v>
      </c>
      <c r="K74" s="736">
        <f t="shared" si="54"/>
        <v>14550</v>
      </c>
      <c r="L74" s="736">
        <f t="shared" si="54"/>
        <v>17750</v>
      </c>
      <c r="M74" s="736">
        <f t="shared" si="54"/>
        <v>21200</v>
      </c>
      <c r="N74" s="736">
        <f>+O36</f>
        <v>24600</v>
      </c>
      <c r="O74" s="736">
        <f t="shared" ref="O74:Q74" si="55">+R36</f>
        <v>38250</v>
      </c>
      <c r="P74" s="736">
        <f t="shared" si="55"/>
        <v>43850</v>
      </c>
      <c r="Q74" s="736">
        <f t="shared" si="55"/>
        <v>51450</v>
      </c>
      <c r="R74" s="735"/>
      <c r="S74" s="735"/>
      <c r="T74" s="735"/>
    </row>
    <row r="75" spans="1:20">
      <c r="A75" s="597" t="s">
        <v>465</v>
      </c>
      <c r="B75" s="736">
        <f t="shared" ref="B75:M75" si="56">+C39</f>
        <v>166198.01526717556</v>
      </c>
      <c r="C75" s="736">
        <f t="shared" si="56"/>
        <v>132946.03053435113</v>
      </c>
      <c r="D75" s="736">
        <f t="shared" si="56"/>
        <v>90152.671755725183</v>
      </c>
      <c r="E75" s="736">
        <f t="shared" si="56"/>
        <v>43975.725190839694</v>
      </c>
      <c r="F75" s="736">
        <f t="shared" si="56"/>
        <v>198.77862595420447</v>
      </c>
      <c r="G75" s="736">
        <f t="shared" si="56"/>
        <v>1447490.1068702289</v>
      </c>
      <c r="H75" s="736">
        <f t="shared" si="56"/>
        <v>1386136.7022900763</v>
      </c>
      <c r="I75" s="736">
        <f t="shared" si="56"/>
        <v>1316051.572519084</v>
      </c>
      <c r="J75" s="736">
        <f t="shared" si="56"/>
        <v>1247816.4427480916</v>
      </c>
      <c r="K75" s="736">
        <f t="shared" si="56"/>
        <v>1176941.2366412214</v>
      </c>
      <c r="L75" s="736">
        <f t="shared" si="56"/>
        <v>1112366.0305343512</v>
      </c>
      <c r="M75" s="736">
        <f t="shared" si="56"/>
        <v>1047042.8702290078</v>
      </c>
      <c r="N75" s="736">
        <f>+O39</f>
        <v>966184.51386442245</v>
      </c>
      <c r="O75" s="736">
        <f t="shared" ref="O75:Q75" si="57">+R39</f>
        <v>748533.6432439487</v>
      </c>
      <c r="P75" s="736">
        <f t="shared" si="57"/>
        <v>691215.74489463051</v>
      </c>
      <c r="Q75" s="736">
        <f t="shared" si="57"/>
        <v>641297.84654531232</v>
      </c>
      <c r="R75" s="735"/>
      <c r="S75" s="735"/>
      <c r="T75" s="735"/>
    </row>
  </sheetData>
  <sheetProtection sheet="1" objects="1" scenarios="1"/>
  <mergeCells count="1">
    <mergeCell ref="A1:V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T45"/>
  <sheetViews>
    <sheetView topLeftCell="A21" workbookViewId="0">
      <selection activeCell="V34" sqref="V34"/>
    </sheetView>
  </sheetViews>
  <sheetFormatPr defaultRowHeight="12.75"/>
  <cols>
    <col min="2" max="2" width="9.7109375" bestFit="1" customWidth="1"/>
    <col min="3" max="3" width="10.28515625" bestFit="1" customWidth="1"/>
    <col min="4" max="9" width="10.7109375" bestFit="1" customWidth="1"/>
    <col min="10" max="19" width="11.28515625" bestFit="1" customWidth="1"/>
  </cols>
  <sheetData>
    <row r="1" spans="1:19" ht="13.5" thickBot="1">
      <c r="A1" s="356"/>
      <c r="B1" s="356"/>
      <c r="C1" s="356"/>
      <c r="D1" s="356"/>
      <c r="E1" s="356"/>
      <c r="F1" s="356"/>
      <c r="G1" s="356"/>
      <c r="H1" s="356"/>
      <c r="I1" s="356"/>
    </row>
    <row r="2" spans="1:19">
      <c r="A2" s="538" t="s">
        <v>345</v>
      </c>
      <c r="B2" s="539">
        <v>1</v>
      </c>
      <c r="C2" s="539">
        <v>2</v>
      </c>
      <c r="D2" s="539">
        <v>3</v>
      </c>
      <c r="E2" s="539">
        <v>4</v>
      </c>
      <c r="F2" s="539">
        <v>5</v>
      </c>
      <c r="G2" s="539">
        <v>6</v>
      </c>
      <c r="H2" s="539">
        <v>7</v>
      </c>
      <c r="I2" s="539">
        <v>8</v>
      </c>
      <c r="J2" s="539">
        <v>9</v>
      </c>
      <c r="K2" s="539">
        <v>10</v>
      </c>
      <c r="L2" s="539">
        <v>11</v>
      </c>
      <c r="M2" s="539">
        <v>12</v>
      </c>
      <c r="N2" s="539">
        <v>13</v>
      </c>
      <c r="O2" s="539">
        <v>14</v>
      </c>
      <c r="P2" s="539">
        <v>15</v>
      </c>
      <c r="Q2" s="539">
        <v>16</v>
      </c>
      <c r="R2" s="539">
        <v>17</v>
      </c>
      <c r="S2" s="539">
        <v>18</v>
      </c>
    </row>
    <row r="3" spans="1:19">
      <c r="A3" s="743"/>
      <c r="B3" s="744">
        <f>+Sales!B33</f>
        <v>550</v>
      </c>
      <c r="C3" s="744">
        <f>+Sales!C33</f>
        <v>1300</v>
      </c>
      <c r="D3" s="744">
        <f>+Sales!D33</f>
        <v>1900</v>
      </c>
      <c r="E3" s="744">
        <f>+Sales!E33</f>
        <v>3000</v>
      </c>
      <c r="F3" s="744">
        <f>+Sales!F33</f>
        <v>4050</v>
      </c>
      <c r="G3" s="744">
        <f>+Sales!G33</f>
        <v>5850</v>
      </c>
      <c r="H3" s="744">
        <f>+Sales!H33</f>
        <v>7650</v>
      </c>
      <c r="I3" s="744">
        <f>+Sales!I33</f>
        <v>9650</v>
      </c>
      <c r="J3" s="744">
        <f>+Sales!J33</f>
        <v>12000</v>
      </c>
      <c r="K3" s="744">
        <f>+Sales!K33</f>
        <v>14550</v>
      </c>
      <c r="L3" s="744">
        <f>+Sales!L33</f>
        <v>17750</v>
      </c>
      <c r="M3" s="744">
        <f>+Sales!M33</f>
        <v>21200</v>
      </c>
      <c r="N3" s="744">
        <f>+Sales!N33</f>
        <v>24600</v>
      </c>
      <c r="O3" s="744">
        <f>+Sales!O33</f>
        <v>28700</v>
      </c>
      <c r="P3" s="744">
        <f>+Sales!P33</f>
        <v>33050</v>
      </c>
      <c r="Q3" s="744">
        <f>+Sales!Q33</f>
        <v>38250</v>
      </c>
      <c r="R3" s="744">
        <f>+Sales!R33</f>
        <v>43850</v>
      </c>
      <c r="S3" s="744">
        <f>+Sales!S33</f>
        <v>51450</v>
      </c>
    </row>
    <row r="4" spans="1:19">
      <c r="A4" s="64"/>
      <c r="B4" s="26"/>
      <c r="C4" s="26"/>
      <c r="D4" s="26"/>
      <c r="E4" s="26"/>
      <c r="F4" s="26"/>
      <c r="G4" s="26"/>
      <c r="H4" s="26"/>
      <c r="I4" s="65"/>
    </row>
    <row r="5" spans="1:19">
      <c r="A5" s="64"/>
      <c r="B5" s="26"/>
      <c r="C5" s="26"/>
      <c r="D5" s="26"/>
      <c r="E5" s="26"/>
      <c r="F5" s="26"/>
      <c r="G5" s="26"/>
      <c r="H5" s="26"/>
      <c r="I5" s="65"/>
    </row>
    <row r="6" spans="1:19">
      <c r="A6" s="64"/>
      <c r="B6" s="26"/>
      <c r="C6" s="26"/>
      <c r="D6" s="26"/>
      <c r="E6" s="26"/>
      <c r="F6" s="26"/>
      <c r="G6" s="26"/>
      <c r="H6" s="26"/>
      <c r="I6" s="65"/>
    </row>
    <row r="7" spans="1:19">
      <c r="A7" s="64"/>
      <c r="B7" s="26"/>
      <c r="C7" s="26"/>
      <c r="D7" s="26"/>
      <c r="E7" s="26"/>
      <c r="F7" s="26"/>
      <c r="G7" s="26"/>
      <c r="H7" s="26"/>
      <c r="I7" s="65"/>
    </row>
    <row r="8" spans="1:19">
      <c r="A8" s="64"/>
      <c r="B8" s="26"/>
      <c r="C8" s="26"/>
      <c r="D8" s="26"/>
      <c r="E8" s="26"/>
      <c r="F8" s="26"/>
      <c r="G8" s="26"/>
      <c r="H8" s="26"/>
      <c r="I8" s="65"/>
    </row>
    <row r="9" spans="1:19">
      <c r="A9" s="64"/>
      <c r="B9" s="26"/>
      <c r="C9" s="26"/>
      <c r="D9" s="26"/>
      <c r="E9" s="26"/>
      <c r="F9" s="26"/>
      <c r="G9" s="26"/>
      <c r="H9" s="26"/>
      <c r="I9" s="65"/>
    </row>
    <row r="10" spans="1:19">
      <c r="A10" s="64"/>
      <c r="B10" s="26"/>
      <c r="C10" s="26"/>
      <c r="D10" s="26"/>
      <c r="E10" s="26"/>
      <c r="F10" s="26"/>
      <c r="G10" s="26"/>
      <c r="H10" s="26"/>
      <c r="I10" s="65"/>
    </row>
    <row r="11" spans="1:19">
      <c r="A11" s="64"/>
      <c r="B11" s="26"/>
      <c r="C11" s="26"/>
      <c r="D11" s="26"/>
      <c r="E11" s="26"/>
      <c r="F11" s="26"/>
      <c r="G11" s="26"/>
      <c r="H11" s="26"/>
      <c r="I11" s="65"/>
    </row>
    <row r="12" spans="1:19">
      <c r="A12" s="64"/>
      <c r="B12" s="26"/>
      <c r="C12" s="26"/>
      <c r="D12" s="26"/>
      <c r="E12" s="26"/>
      <c r="F12" s="26"/>
      <c r="G12" s="26"/>
      <c r="H12" s="26"/>
      <c r="I12" s="65"/>
    </row>
    <row r="13" spans="1:19">
      <c r="A13" s="64"/>
      <c r="B13" s="26"/>
      <c r="C13" s="26"/>
      <c r="D13" s="26"/>
      <c r="E13" s="26"/>
      <c r="F13" s="26"/>
      <c r="G13" s="26"/>
      <c r="H13" s="26"/>
      <c r="I13" s="65"/>
    </row>
    <row r="14" spans="1:19">
      <c r="A14" s="64"/>
      <c r="B14" s="26"/>
      <c r="C14" s="26"/>
      <c r="D14" s="26"/>
      <c r="E14" s="26"/>
      <c r="F14" s="26"/>
      <c r="G14" s="26"/>
      <c r="H14" s="26"/>
      <c r="I14" s="65"/>
    </row>
    <row r="15" spans="1:19">
      <c r="A15" s="64"/>
      <c r="B15" s="26"/>
      <c r="C15" s="26"/>
      <c r="D15" s="26"/>
      <c r="E15" s="26"/>
      <c r="F15" s="26"/>
      <c r="G15" s="26"/>
      <c r="H15" s="26"/>
      <c r="I15" s="65"/>
    </row>
    <row r="16" spans="1:19">
      <c r="A16" s="64"/>
      <c r="B16" s="26"/>
      <c r="C16" s="26"/>
      <c r="D16" s="26"/>
      <c r="E16" s="26"/>
      <c r="F16" s="26"/>
      <c r="G16" s="26"/>
      <c r="H16" s="26"/>
      <c r="I16" s="65"/>
    </row>
    <row r="17" spans="1:20">
      <c r="A17" s="64"/>
      <c r="B17" s="26"/>
      <c r="C17" s="26"/>
      <c r="D17" s="26"/>
      <c r="E17" s="26"/>
      <c r="F17" s="26"/>
      <c r="G17" s="26"/>
      <c r="H17" s="26"/>
      <c r="I17" s="65"/>
    </row>
    <row r="18" spans="1:20">
      <c r="A18" s="64"/>
      <c r="B18" s="26"/>
      <c r="C18" s="26"/>
      <c r="D18" s="26"/>
      <c r="E18" s="26"/>
      <c r="F18" s="26"/>
      <c r="G18" s="26"/>
      <c r="H18" s="26"/>
      <c r="I18" s="65"/>
    </row>
    <row r="19" spans="1:20">
      <c r="A19" s="64"/>
      <c r="B19" s="26"/>
      <c r="C19" s="26"/>
      <c r="D19" s="26"/>
      <c r="E19" s="26"/>
      <c r="F19" s="26"/>
      <c r="G19" s="26"/>
      <c r="H19" s="26"/>
      <c r="I19" s="65"/>
    </row>
    <row r="20" spans="1:20">
      <c r="A20" s="64"/>
      <c r="B20" s="26"/>
      <c r="C20" s="26"/>
      <c r="D20" s="26"/>
      <c r="E20" s="26"/>
      <c r="F20" s="26"/>
      <c r="G20" s="26"/>
      <c r="H20" s="26"/>
      <c r="I20" s="65"/>
    </row>
    <row r="21" spans="1:20" ht="13.5" thickBot="1">
      <c r="A21" s="537"/>
      <c r="B21" s="69"/>
      <c r="C21" s="69"/>
      <c r="D21" s="69"/>
      <c r="E21" s="69"/>
      <c r="F21" s="69"/>
      <c r="G21" s="69"/>
      <c r="H21" s="69"/>
      <c r="I21" s="70"/>
    </row>
    <row r="24" spans="1:20" ht="13.5" thickBot="1"/>
    <row r="25" spans="1:20">
      <c r="A25" s="538" t="s">
        <v>466</v>
      </c>
      <c r="B25" s="539">
        <v>1</v>
      </c>
      <c r="C25" s="539">
        <v>2</v>
      </c>
      <c r="D25" s="539">
        <v>3</v>
      </c>
      <c r="E25" s="539">
        <v>4</v>
      </c>
      <c r="F25" s="539">
        <v>5</v>
      </c>
      <c r="G25" s="539">
        <v>6</v>
      </c>
      <c r="H25" s="539">
        <v>7</v>
      </c>
      <c r="I25" s="539">
        <v>8</v>
      </c>
      <c r="J25" s="539">
        <v>9</v>
      </c>
      <c r="K25" s="539">
        <v>10</v>
      </c>
      <c r="L25" s="539">
        <v>11</v>
      </c>
      <c r="M25" s="539">
        <v>12</v>
      </c>
      <c r="N25" s="539">
        <v>13</v>
      </c>
      <c r="O25" s="539">
        <v>14</v>
      </c>
      <c r="P25" s="539">
        <v>15</v>
      </c>
      <c r="Q25" s="539">
        <v>16</v>
      </c>
      <c r="R25" s="539">
        <v>17</v>
      </c>
      <c r="S25" s="539">
        <v>18</v>
      </c>
      <c r="T25" s="356"/>
    </row>
    <row r="26" spans="1:20">
      <c r="A26" s="743"/>
      <c r="B26" s="744">
        <f>+Sales!B34</f>
        <v>6600</v>
      </c>
      <c r="C26" s="744">
        <f>+Sales!C34</f>
        <v>15600</v>
      </c>
      <c r="D26" s="744">
        <f>+Sales!D34</f>
        <v>22800</v>
      </c>
      <c r="E26" s="744">
        <f>+Sales!E34</f>
        <v>36000</v>
      </c>
      <c r="F26" s="744">
        <f>+Sales!F34</f>
        <v>48600</v>
      </c>
      <c r="G26" s="744">
        <f>+Sales!G34</f>
        <v>70200</v>
      </c>
      <c r="H26" s="744">
        <f>+Sales!H34</f>
        <v>91800</v>
      </c>
      <c r="I26" s="744">
        <f>+Sales!I34</f>
        <v>115800</v>
      </c>
      <c r="J26" s="744">
        <f>+Sales!J34</f>
        <v>144000</v>
      </c>
      <c r="K26" s="744">
        <f>+Sales!K34</f>
        <v>174600</v>
      </c>
      <c r="L26" s="744">
        <f>+Sales!L34</f>
        <v>213000</v>
      </c>
      <c r="M26" s="744">
        <f>+Sales!M34</f>
        <v>254400</v>
      </c>
      <c r="N26" s="744">
        <f>+Sales!N34</f>
        <v>295200</v>
      </c>
      <c r="O26" s="744">
        <f>+Sales!O34</f>
        <v>344400</v>
      </c>
      <c r="P26" s="744">
        <f>+Sales!P34</f>
        <v>396600</v>
      </c>
      <c r="Q26" s="744">
        <f>+Sales!Q34</f>
        <v>459000</v>
      </c>
      <c r="R26" s="744">
        <f>+Sales!R34</f>
        <v>526200</v>
      </c>
      <c r="S26" s="744">
        <f>+Sales!S34</f>
        <v>617400</v>
      </c>
      <c r="T26" s="356"/>
    </row>
    <row r="27" spans="1:20">
      <c r="A27" s="64"/>
      <c r="B27" s="26"/>
      <c r="C27" s="26"/>
      <c r="D27" s="26"/>
      <c r="E27" s="26"/>
      <c r="F27" s="26"/>
      <c r="G27" s="26"/>
      <c r="H27" s="26"/>
      <c r="I27" s="65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</row>
    <row r="28" spans="1:20">
      <c r="A28" s="64"/>
      <c r="B28" s="26"/>
      <c r="C28" s="26"/>
      <c r="D28" s="26"/>
      <c r="E28" s="26"/>
      <c r="F28" s="26"/>
      <c r="G28" s="26"/>
      <c r="H28" s="26"/>
      <c r="I28" s="65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</row>
    <row r="29" spans="1:20">
      <c r="A29" s="64"/>
      <c r="B29" s="26"/>
      <c r="C29" s="26"/>
      <c r="D29" s="26"/>
      <c r="E29" s="26"/>
      <c r="F29" s="26"/>
      <c r="G29" s="26"/>
      <c r="H29" s="26"/>
      <c r="I29" s="65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</row>
    <row r="30" spans="1:20">
      <c r="A30" s="64"/>
      <c r="B30" s="26"/>
      <c r="C30" s="26"/>
      <c r="D30" s="26"/>
      <c r="E30" s="26"/>
      <c r="F30" s="26"/>
      <c r="G30" s="26"/>
      <c r="H30" s="26"/>
      <c r="I30" s="65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</row>
    <row r="31" spans="1:20">
      <c r="A31" s="64"/>
      <c r="B31" s="26"/>
      <c r="C31" s="26"/>
      <c r="D31" s="26"/>
      <c r="E31" s="26"/>
      <c r="F31" s="26"/>
      <c r="G31" s="26"/>
      <c r="H31" s="26"/>
      <c r="I31" s="65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</row>
    <row r="32" spans="1:20">
      <c r="A32" s="64"/>
      <c r="B32" s="26"/>
      <c r="C32" s="26"/>
      <c r="D32" s="26"/>
      <c r="E32" s="26"/>
      <c r="F32" s="26"/>
      <c r="G32" s="26"/>
      <c r="H32" s="26"/>
      <c r="I32" s="65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</row>
    <row r="33" spans="1:20">
      <c r="A33" s="64"/>
      <c r="B33" s="26"/>
      <c r="C33" s="26"/>
      <c r="D33" s="26"/>
      <c r="E33" s="26"/>
      <c r="F33" s="26"/>
      <c r="G33" s="26"/>
      <c r="H33" s="26"/>
      <c r="I33" s="65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</row>
    <row r="34" spans="1:20">
      <c r="A34" s="64"/>
      <c r="B34" s="26"/>
      <c r="C34" s="26"/>
      <c r="D34" s="26"/>
      <c r="E34" s="26"/>
      <c r="F34" s="26"/>
      <c r="G34" s="26"/>
      <c r="H34" s="26"/>
      <c r="I34" s="65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</row>
    <row r="35" spans="1:20">
      <c r="A35" s="64"/>
      <c r="B35" s="26"/>
      <c r="C35" s="26"/>
      <c r="D35" s="26"/>
      <c r="E35" s="26"/>
      <c r="F35" s="26"/>
      <c r="G35" s="26"/>
      <c r="H35" s="26"/>
      <c r="I35" s="65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</row>
    <row r="36" spans="1:20">
      <c r="A36" s="64"/>
      <c r="B36" s="26"/>
      <c r="C36" s="26"/>
      <c r="D36" s="26"/>
      <c r="E36" s="26"/>
      <c r="F36" s="26"/>
      <c r="G36" s="26"/>
      <c r="H36" s="26"/>
      <c r="I36" s="65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</row>
    <row r="37" spans="1:20">
      <c r="A37" s="64"/>
      <c r="B37" s="26"/>
      <c r="C37" s="26"/>
      <c r="D37" s="26"/>
      <c r="E37" s="26"/>
      <c r="F37" s="26"/>
      <c r="G37" s="26"/>
      <c r="H37" s="26"/>
      <c r="I37" s="65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</row>
    <row r="38" spans="1:20">
      <c r="A38" s="64"/>
      <c r="B38" s="26"/>
      <c r="C38" s="26"/>
      <c r="D38" s="26"/>
      <c r="E38" s="26"/>
      <c r="F38" s="26"/>
      <c r="G38" s="26"/>
      <c r="H38" s="26"/>
      <c r="I38" s="65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</row>
    <row r="39" spans="1:20">
      <c r="A39" s="64"/>
      <c r="B39" s="26"/>
      <c r="C39" s="26"/>
      <c r="D39" s="26"/>
      <c r="E39" s="26"/>
      <c r="F39" s="26"/>
      <c r="G39" s="26"/>
      <c r="H39" s="26"/>
      <c r="I39" s="65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</row>
    <row r="40" spans="1:20">
      <c r="A40" s="64"/>
      <c r="B40" s="26"/>
      <c r="C40" s="26"/>
      <c r="D40" s="26"/>
      <c r="E40" s="26"/>
      <c r="F40" s="26"/>
      <c r="G40" s="26"/>
      <c r="H40" s="26"/>
      <c r="I40" s="65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</row>
    <row r="41" spans="1:20">
      <c r="A41" s="64"/>
      <c r="B41" s="26"/>
      <c r="C41" s="26"/>
      <c r="D41" s="26"/>
      <c r="E41" s="26"/>
      <c r="F41" s="26"/>
      <c r="G41" s="26"/>
      <c r="H41" s="26"/>
      <c r="I41" s="65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</row>
    <row r="42" spans="1:20">
      <c r="A42" s="64"/>
      <c r="B42" s="26"/>
      <c r="C42" s="26"/>
      <c r="D42" s="26"/>
      <c r="E42" s="26"/>
      <c r="F42" s="26"/>
      <c r="G42" s="26"/>
      <c r="H42" s="26"/>
      <c r="I42" s="65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</row>
    <row r="43" spans="1:20">
      <c r="A43" s="64"/>
      <c r="B43" s="26"/>
      <c r="C43" s="26"/>
      <c r="D43" s="26"/>
      <c r="E43" s="26"/>
      <c r="F43" s="26"/>
      <c r="G43" s="26"/>
      <c r="H43" s="26"/>
      <c r="I43" s="65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</row>
    <row r="44" spans="1:20" ht="13.5" thickBot="1">
      <c r="A44" s="537"/>
      <c r="B44" s="69"/>
      <c r="C44" s="69"/>
      <c r="D44" s="69"/>
      <c r="E44" s="69"/>
      <c r="F44" s="69"/>
      <c r="G44" s="69"/>
      <c r="H44" s="69"/>
      <c r="I44" s="70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</row>
    <row r="45" spans="1:20">
      <c r="A45" s="356"/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951F-7BF4-4921-A404-DE20625C1338}">
  <sheetPr>
    <tabColor theme="7" tint="0.39997558519241921"/>
  </sheetPr>
  <dimension ref="A1:T34"/>
  <sheetViews>
    <sheetView workbookViewId="0">
      <selection activeCell="F14" sqref="F14"/>
    </sheetView>
  </sheetViews>
  <sheetFormatPr defaultRowHeight="12.75"/>
  <cols>
    <col min="1" max="1" width="23.140625" customWidth="1"/>
    <col min="2" max="5" width="9.85546875" bestFit="1" customWidth="1"/>
    <col min="6" max="12" width="11.42578125" bestFit="1" customWidth="1"/>
    <col min="13" max="19" width="12.42578125" bestFit="1" customWidth="1"/>
    <col min="20" max="20" width="13.5703125" bestFit="1" customWidth="1"/>
  </cols>
  <sheetData>
    <row r="1" spans="1:20" s="356" customFormat="1" ht="18">
      <c r="J1" s="734" t="s">
        <v>462</v>
      </c>
    </row>
    <row r="2" spans="1:20" ht="13.5" thickBot="1"/>
    <row r="3" spans="1:20" ht="13.5" thickBot="1">
      <c r="B3" s="840" t="s">
        <v>339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2"/>
      <c r="N3" s="840" t="s">
        <v>340</v>
      </c>
      <c r="O3" s="841"/>
      <c r="P3" s="841"/>
      <c r="Q3" s="841"/>
      <c r="R3" s="841"/>
      <c r="S3" s="842"/>
      <c r="T3" s="438"/>
    </row>
    <row r="4" spans="1:20" ht="15.75" thickBot="1">
      <c r="A4" s="588" t="s">
        <v>421</v>
      </c>
      <c r="B4" s="580">
        <v>1</v>
      </c>
      <c r="C4" s="580">
        <v>2</v>
      </c>
      <c r="D4" s="580">
        <v>3</v>
      </c>
      <c r="E4" s="580">
        <v>4</v>
      </c>
      <c r="F4" s="580">
        <v>5</v>
      </c>
      <c r="G4" s="580">
        <v>6</v>
      </c>
      <c r="H4" s="580">
        <v>7</v>
      </c>
      <c r="I4" s="580">
        <v>8</v>
      </c>
      <c r="J4" s="580">
        <v>9</v>
      </c>
      <c r="K4" s="580">
        <v>10</v>
      </c>
      <c r="L4" s="580">
        <v>11</v>
      </c>
      <c r="M4" s="580">
        <v>12</v>
      </c>
      <c r="N4" s="580">
        <v>13</v>
      </c>
      <c r="O4" s="580">
        <v>14</v>
      </c>
      <c r="P4" s="580">
        <v>15</v>
      </c>
      <c r="Q4" s="580">
        <v>16</v>
      </c>
      <c r="R4" s="580">
        <v>17</v>
      </c>
      <c r="S4" s="580">
        <v>18</v>
      </c>
      <c r="T4" s="581" t="s">
        <v>23</v>
      </c>
    </row>
    <row r="5" spans="1:20">
      <c r="A5" s="583" t="s">
        <v>400</v>
      </c>
      <c r="B5" s="241">
        <v>0</v>
      </c>
      <c r="C5" s="241">
        <f>+B8</f>
        <v>2</v>
      </c>
      <c r="D5" s="241">
        <f t="shared" ref="D5:T5" si="0">+C8</f>
        <v>4</v>
      </c>
      <c r="E5" s="241">
        <f t="shared" si="0"/>
        <v>6</v>
      </c>
      <c r="F5" s="241">
        <f t="shared" si="0"/>
        <v>7</v>
      </c>
      <c r="G5" s="241">
        <f t="shared" si="0"/>
        <v>7</v>
      </c>
      <c r="H5" s="241">
        <f t="shared" si="0"/>
        <v>9</v>
      </c>
      <c r="I5" s="241">
        <f t="shared" si="0"/>
        <v>13</v>
      </c>
      <c r="J5" s="241">
        <f t="shared" si="0"/>
        <v>17</v>
      </c>
      <c r="K5" s="241">
        <f t="shared" si="0"/>
        <v>21</v>
      </c>
      <c r="L5" s="241">
        <f t="shared" si="0"/>
        <v>25</v>
      </c>
      <c r="M5" s="241">
        <f t="shared" si="0"/>
        <v>35</v>
      </c>
      <c r="N5" s="241">
        <f t="shared" si="0"/>
        <v>48</v>
      </c>
      <c r="O5" s="241">
        <f t="shared" si="0"/>
        <v>63</v>
      </c>
      <c r="P5" s="241">
        <f t="shared" si="0"/>
        <v>82</v>
      </c>
      <c r="Q5" s="241">
        <f t="shared" si="0"/>
        <v>104</v>
      </c>
      <c r="R5" s="241">
        <f t="shared" si="0"/>
        <v>134</v>
      </c>
      <c r="S5" s="241">
        <f t="shared" si="0"/>
        <v>172</v>
      </c>
      <c r="T5" s="241">
        <f t="shared" si="0"/>
        <v>238</v>
      </c>
    </row>
    <row r="6" spans="1:20">
      <c r="A6" s="584" t="s">
        <v>401</v>
      </c>
      <c r="B6" s="749">
        <v>2</v>
      </c>
      <c r="C6" s="749">
        <v>4</v>
      </c>
      <c r="D6" s="749">
        <v>6</v>
      </c>
      <c r="E6" s="749">
        <v>7</v>
      </c>
      <c r="F6" s="749">
        <v>8</v>
      </c>
      <c r="G6" s="749">
        <v>12</v>
      </c>
      <c r="H6" s="749">
        <v>16</v>
      </c>
      <c r="I6" s="749">
        <v>18</v>
      </c>
      <c r="J6" s="749">
        <v>20</v>
      </c>
      <c r="K6" s="749">
        <v>22</v>
      </c>
      <c r="L6" s="749">
        <v>30</v>
      </c>
      <c r="M6" s="749">
        <v>35</v>
      </c>
      <c r="N6" s="749">
        <v>39</v>
      </c>
      <c r="O6" s="749">
        <v>45</v>
      </c>
      <c r="P6" s="749">
        <v>50</v>
      </c>
      <c r="Q6" s="749">
        <v>60</v>
      </c>
      <c r="R6" s="749">
        <v>70</v>
      </c>
      <c r="S6" s="749">
        <v>100</v>
      </c>
      <c r="T6" s="582"/>
    </row>
    <row r="7" spans="1:20">
      <c r="A7" s="584" t="s">
        <v>402</v>
      </c>
      <c r="B7" s="749">
        <v>0</v>
      </c>
      <c r="C7" s="749">
        <v>2</v>
      </c>
      <c r="D7" s="749">
        <v>4</v>
      </c>
      <c r="E7" s="749">
        <v>6</v>
      </c>
      <c r="F7" s="749">
        <v>8</v>
      </c>
      <c r="G7" s="749">
        <v>10</v>
      </c>
      <c r="H7" s="749">
        <v>12</v>
      </c>
      <c r="I7" s="749">
        <v>14</v>
      </c>
      <c r="J7" s="749">
        <v>16</v>
      </c>
      <c r="K7" s="749">
        <v>18</v>
      </c>
      <c r="L7" s="749">
        <v>20</v>
      </c>
      <c r="M7" s="749">
        <v>22</v>
      </c>
      <c r="N7" s="749">
        <v>24</v>
      </c>
      <c r="O7" s="749">
        <v>26</v>
      </c>
      <c r="P7" s="749">
        <v>28</v>
      </c>
      <c r="Q7" s="749">
        <v>30</v>
      </c>
      <c r="R7" s="749">
        <v>32</v>
      </c>
      <c r="S7" s="749">
        <v>34</v>
      </c>
      <c r="T7" s="582"/>
    </row>
    <row r="8" spans="1:20">
      <c r="A8" s="584" t="s">
        <v>403</v>
      </c>
      <c r="B8" s="241">
        <f>+B5+B6-B7</f>
        <v>2</v>
      </c>
      <c r="C8" s="241">
        <f t="shared" ref="C8:T8" si="1">+C5+C6-C7</f>
        <v>4</v>
      </c>
      <c r="D8" s="241">
        <f t="shared" si="1"/>
        <v>6</v>
      </c>
      <c r="E8" s="241">
        <f t="shared" si="1"/>
        <v>7</v>
      </c>
      <c r="F8" s="241">
        <f t="shared" si="1"/>
        <v>7</v>
      </c>
      <c r="G8" s="241">
        <f t="shared" si="1"/>
        <v>9</v>
      </c>
      <c r="H8" s="241">
        <f t="shared" si="1"/>
        <v>13</v>
      </c>
      <c r="I8" s="241">
        <f t="shared" si="1"/>
        <v>17</v>
      </c>
      <c r="J8" s="241">
        <f t="shared" si="1"/>
        <v>21</v>
      </c>
      <c r="K8" s="241">
        <f t="shared" si="1"/>
        <v>25</v>
      </c>
      <c r="L8" s="241">
        <f t="shared" si="1"/>
        <v>35</v>
      </c>
      <c r="M8" s="241">
        <f t="shared" si="1"/>
        <v>48</v>
      </c>
      <c r="N8" s="241">
        <f t="shared" si="1"/>
        <v>63</v>
      </c>
      <c r="O8" s="241">
        <f t="shared" si="1"/>
        <v>82</v>
      </c>
      <c r="P8" s="241">
        <f t="shared" si="1"/>
        <v>104</v>
      </c>
      <c r="Q8" s="241">
        <f t="shared" si="1"/>
        <v>134</v>
      </c>
      <c r="R8" s="241">
        <f t="shared" si="1"/>
        <v>172</v>
      </c>
      <c r="S8" s="241">
        <f t="shared" si="1"/>
        <v>238</v>
      </c>
      <c r="T8" s="241">
        <f t="shared" si="1"/>
        <v>238</v>
      </c>
    </row>
    <row r="9" spans="1:20" s="356" customFormat="1">
      <c r="A9" s="585" t="s">
        <v>422</v>
      </c>
      <c r="B9" s="586">
        <v>50</v>
      </c>
      <c r="C9" s="586">
        <f>+B9</f>
        <v>50</v>
      </c>
      <c r="D9" s="586">
        <f t="shared" ref="D9:S9" si="2">+C9</f>
        <v>50</v>
      </c>
      <c r="E9" s="586">
        <f t="shared" si="2"/>
        <v>50</v>
      </c>
      <c r="F9" s="586">
        <f t="shared" si="2"/>
        <v>50</v>
      </c>
      <c r="G9" s="586">
        <f t="shared" si="2"/>
        <v>50</v>
      </c>
      <c r="H9" s="586">
        <f t="shared" si="2"/>
        <v>50</v>
      </c>
      <c r="I9" s="586">
        <f t="shared" si="2"/>
        <v>50</v>
      </c>
      <c r="J9" s="586">
        <f t="shared" si="2"/>
        <v>50</v>
      </c>
      <c r="K9" s="586">
        <f t="shared" si="2"/>
        <v>50</v>
      </c>
      <c r="L9" s="586">
        <f t="shared" si="2"/>
        <v>50</v>
      </c>
      <c r="M9" s="586">
        <f t="shared" si="2"/>
        <v>50</v>
      </c>
      <c r="N9" s="586">
        <f t="shared" si="2"/>
        <v>50</v>
      </c>
      <c r="O9" s="586">
        <f t="shared" si="2"/>
        <v>50</v>
      </c>
      <c r="P9" s="586">
        <f t="shared" si="2"/>
        <v>50</v>
      </c>
      <c r="Q9" s="586">
        <f t="shared" si="2"/>
        <v>50</v>
      </c>
      <c r="R9" s="586">
        <f t="shared" si="2"/>
        <v>50</v>
      </c>
      <c r="S9" s="586">
        <f t="shared" si="2"/>
        <v>50</v>
      </c>
      <c r="T9" s="241"/>
    </row>
    <row r="10" spans="1:20" s="356" customFormat="1">
      <c r="A10" s="551" t="s">
        <v>50</v>
      </c>
      <c r="B10" s="587">
        <f>+B8*B9</f>
        <v>100</v>
      </c>
      <c r="C10" s="587">
        <f t="shared" ref="C10:S10" si="3">+C8*C9</f>
        <v>200</v>
      </c>
      <c r="D10" s="587">
        <f t="shared" si="3"/>
        <v>300</v>
      </c>
      <c r="E10" s="587">
        <f t="shared" si="3"/>
        <v>350</v>
      </c>
      <c r="F10" s="587">
        <f t="shared" si="3"/>
        <v>350</v>
      </c>
      <c r="G10" s="587">
        <f t="shared" si="3"/>
        <v>450</v>
      </c>
      <c r="H10" s="587">
        <f t="shared" si="3"/>
        <v>650</v>
      </c>
      <c r="I10" s="587">
        <f t="shared" si="3"/>
        <v>850</v>
      </c>
      <c r="J10" s="587">
        <f t="shared" si="3"/>
        <v>1050</v>
      </c>
      <c r="K10" s="587">
        <f t="shared" si="3"/>
        <v>1250</v>
      </c>
      <c r="L10" s="587">
        <f t="shared" si="3"/>
        <v>1750</v>
      </c>
      <c r="M10" s="587">
        <f t="shared" si="3"/>
        <v>2400</v>
      </c>
      <c r="N10" s="587">
        <f t="shared" si="3"/>
        <v>3150</v>
      </c>
      <c r="O10" s="587">
        <f t="shared" si="3"/>
        <v>4100</v>
      </c>
      <c r="P10" s="587">
        <f t="shared" si="3"/>
        <v>5200</v>
      </c>
      <c r="Q10" s="587">
        <f t="shared" si="3"/>
        <v>6700</v>
      </c>
      <c r="R10" s="587">
        <f t="shared" si="3"/>
        <v>8600</v>
      </c>
      <c r="S10" s="587">
        <f t="shared" si="3"/>
        <v>11900</v>
      </c>
      <c r="T10" s="587">
        <f>SUM(B10:S10)</f>
        <v>49350</v>
      </c>
    </row>
    <row r="11" spans="1:20" ht="13.5" thickBot="1"/>
    <row r="12" spans="1:20" ht="13.5" thickBot="1">
      <c r="A12" s="356"/>
      <c r="B12" s="840" t="s">
        <v>339</v>
      </c>
      <c r="C12" s="841"/>
      <c r="D12" s="841"/>
      <c r="E12" s="841"/>
      <c r="F12" s="841"/>
      <c r="G12" s="841"/>
      <c r="H12" s="841"/>
      <c r="I12" s="841"/>
      <c r="J12" s="841"/>
      <c r="K12" s="841"/>
      <c r="L12" s="841"/>
      <c r="M12" s="842"/>
      <c r="N12" s="840" t="s">
        <v>340</v>
      </c>
      <c r="O12" s="841"/>
      <c r="P12" s="841"/>
      <c r="Q12" s="841"/>
      <c r="R12" s="841"/>
      <c r="S12" s="842"/>
      <c r="T12" s="438"/>
    </row>
    <row r="13" spans="1:20" ht="16.5" thickBot="1">
      <c r="A13" s="589" t="s">
        <v>10</v>
      </c>
      <c r="B13" s="580">
        <v>1</v>
      </c>
      <c r="C13" s="580">
        <v>2</v>
      </c>
      <c r="D13" s="580">
        <v>3</v>
      </c>
      <c r="E13" s="580">
        <v>4</v>
      </c>
      <c r="F13" s="580">
        <v>5</v>
      </c>
      <c r="G13" s="580">
        <v>6</v>
      </c>
      <c r="H13" s="580">
        <v>7</v>
      </c>
      <c r="I13" s="580">
        <v>8</v>
      </c>
      <c r="J13" s="580">
        <v>9</v>
      </c>
      <c r="K13" s="580">
        <v>10</v>
      </c>
      <c r="L13" s="580">
        <v>11</v>
      </c>
      <c r="M13" s="580">
        <v>12</v>
      </c>
      <c r="N13" s="580">
        <v>13</v>
      </c>
      <c r="O13" s="580">
        <v>14</v>
      </c>
      <c r="P13" s="580">
        <v>15</v>
      </c>
      <c r="Q13" s="580">
        <v>16</v>
      </c>
      <c r="R13" s="580">
        <v>17</v>
      </c>
      <c r="S13" s="580">
        <v>18</v>
      </c>
      <c r="T13" s="581" t="s">
        <v>23</v>
      </c>
    </row>
    <row r="14" spans="1:20">
      <c r="A14" s="583" t="s">
        <v>400</v>
      </c>
      <c r="B14" s="241">
        <v>0</v>
      </c>
      <c r="C14" s="241">
        <f>+B17</f>
        <v>2</v>
      </c>
      <c r="D14" s="241">
        <f t="shared" ref="D14:T14" si="4">+C17</f>
        <v>6</v>
      </c>
      <c r="E14" s="241">
        <f t="shared" si="4"/>
        <v>11</v>
      </c>
      <c r="F14" s="241">
        <f t="shared" si="4"/>
        <v>19</v>
      </c>
      <c r="G14" s="241">
        <f t="shared" si="4"/>
        <v>27</v>
      </c>
      <c r="H14" s="241">
        <f t="shared" si="4"/>
        <v>39</v>
      </c>
      <c r="I14" s="241">
        <f t="shared" si="4"/>
        <v>50</v>
      </c>
      <c r="J14" s="241">
        <f t="shared" si="4"/>
        <v>63</v>
      </c>
      <c r="K14" s="241">
        <f t="shared" si="4"/>
        <v>77</v>
      </c>
      <c r="L14" s="241">
        <f t="shared" si="4"/>
        <v>93</v>
      </c>
      <c r="M14" s="241">
        <f t="shared" si="4"/>
        <v>110</v>
      </c>
      <c r="N14" s="241">
        <f t="shared" si="4"/>
        <v>128</v>
      </c>
      <c r="O14" s="241">
        <f t="shared" si="4"/>
        <v>147</v>
      </c>
      <c r="P14" s="241">
        <f t="shared" si="4"/>
        <v>166</v>
      </c>
      <c r="Q14" s="241">
        <f t="shared" si="4"/>
        <v>186</v>
      </c>
      <c r="R14" s="241">
        <f t="shared" si="4"/>
        <v>208</v>
      </c>
      <c r="S14" s="241">
        <f t="shared" si="4"/>
        <v>230</v>
      </c>
      <c r="T14" s="241">
        <f t="shared" si="4"/>
        <v>253</v>
      </c>
    </row>
    <row r="15" spans="1:20">
      <c r="A15" s="584" t="s">
        <v>401</v>
      </c>
      <c r="B15" s="749">
        <v>2</v>
      </c>
      <c r="C15" s="749">
        <v>4</v>
      </c>
      <c r="D15" s="749">
        <v>6</v>
      </c>
      <c r="E15" s="749">
        <v>8</v>
      </c>
      <c r="F15" s="749">
        <v>10</v>
      </c>
      <c r="G15" s="749">
        <v>12</v>
      </c>
      <c r="H15" s="749">
        <v>14</v>
      </c>
      <c r="I15" s="749">
        <v>16</v>
      </c>
      <c r="J15" s="749">
        <v>17</v>
      </c>
      <c r="K15" s="749">
        <v>19</v>
      </c>
      <c r="L15" s="749">
        <v>20</v>
      </c>
      <c r="M15" s="749">
        <v>21</v>
      </c>
      <c r="N15" s="749">
        <v>22</v>
      </c>
      <c r="O15" s="749">
        <v>22</v>
      </c>
      <c r="P15" s="749">
        <v>23</v>
      </c>
      <c r="Q15" s="749">
        <v>25</v>
      </c>
      <c r="R15" s="749">
        <v>25</v>
      </c>
      <c r="S15" s="749">
        <v>26</v>
      </c>
      <c r="T15" s="582"/>
    </row>
    <row r="16" spans="1:20">
      <c r="A16" s="584" t="s">
        <v>402</v>
      </c>
      <c r="B16" s="749">
        <v>0</v>
      </c>
      <c r="C16" s="749">
        <v>0</v>
      </c>
      <c r="D16" s="749">
        <v>1</v>
      </c>
      <c r="E16" s="749">
        <v>0</v>
      </c>
      <c r="F16" s="749">
        <v>2</v>
      </c>
      <c r="G16" s="749">
        <v>0</v>
      </c>
      <c r="H16" s="749">
        <v>3</v>
      </c>
      <c r="I16" s="749">
        <v>3</v>
      </c>
      <c r="J16" s="749">
        <v>3</v>
      </c>
      <c r="K16" s="749">
        <v>3</v>
      </c>
      <c r="L16" s="749">
        <v>3</v>
      </c>
      <c r="M16" s="749">
        <v>3</v>
      </c>
      <c r="N16" s="749">
        <v>3</v>
      </c>
      <c r="O16" s="749">
        <v>3</v>
      </c>
      <c r="P16" s="749">
        <v>3</v>
      </c>
      <c r="Q16" s="749">
        <v>3</v>
      </c>
      <c r="R16" s="749">
        <v>3</v>
      </c>
      <c r="S16" s="749">
        <v>3</v>
      </c>
      <c r="T16" s="582"/>
    </row>
    <row r="17" spans="1:20">
      <c r="A17" s="584" t="s">
        <v>403</v>
      </c>
      <c r="B17" s="241">
        <f>+B14+B15-B16</f>
        <v>2</v>
      </c>
      <c r="C17" s="241">
        <f t="shared" ref="C17" si="5">+C14+C15-C16</f>
        <v>6</v>
      </c>
      <c r="D17" s="241">
        <f t="shared" ref="D17" si="6">+D14+D15-D16</f>
        <v>11</v>
      </c>
      <c r="E17" s="241">
        <f t="shared" ref="E17" si="7">+E14+E15-E16</f>
        <v>19</v>
      </c>
      <c r="F17" s="241">
        <f t="shared" ref="F17" si="8">+F14+F15-F16</f>
        <v>27</v>
      </c>
      <c r="G17" s="241">
        <f t="shared" ref="G17" si="9">+G14+G15-G16</f>
        <v>39</v>
      </c>
      <c r="H17" s="241">
        <f t="shared" ref="H17" si="10">+H14+H15-H16</f>
        <v>50</v>
      </c>
      <c r="I17" s="241">
        <f t="shared" ref="I17" si="11">+I14+I15-I16</f>
        <v>63</v>
      </c>
      <c r="J17" s="241">
        <f t="shared" ref="J17" si="12">+J14+J15-J16</f>
        <v>77</v>
      </c>
      <c r="K17" s="241">
        <f t="shared" ref="K17" si="13">+K14+K15-K16</f>
        <v>93</v>
      </c>
      <c r="L17" s="241">
        <f t="shared" ref="L17" si="14">+L14+L15-L16</f>
        <v>110</v>
      </c>
      <c r="M17" s="241">
        <f t="shared" ref="M17" si="15">+M14+M15-M16</f>
        <v>128</v>
      </c>
      <c r="N17" s="241">
        <f t="shared" ref="N17" si="16">+N14+N15-N16</f>
        <v>147</v>
      </c>
      <c r="O17" s="241">
        <f t="shared" ref="O17" si="17">+O14+O15-O16</f>
        <v>166</v>
      </c>
      <c r="P17" s="241">
        <f t="shared" ref="P17" si="18">+P14+P15-P16</f>
        <v>186</v>
      </c>
      <c r="Q17" s="241">
        <f t="shared" ref="Q17" si="19">+Q14+Q15-Q16</f>
        <v>208</v>
      </c>
      <c r="R17" s="241">
        <f t="shared" ref="R17" si="20">+R14+R15-R16</f>
        <v>230</v>
      </c>
      <c r="S17" s="241">
        <f t="shared" ref="S17" si="21">+S14+S15-S16</f>
        <v>253</v>
      </c>
      <c r="T17" s="241">
        <f t="shared" ref="T17" si="22">+T14+T15-T16</f>
        <v>253</v>
      </c>
    </row>
    <row r="18" spans="1:20">
      <c r="A18" s="585" t="s">
        <v>422</v>
      </c>
      <c r="B18" s="586">
        <v>100</v>
      </c>
      <c r="C18" s="586">
        <f>+B18</f>
        <v>100</v>
      </c>
      <c r="D18" s="586">
        <f t="shared" ref="D18:S18" si="23">+C18</f>
        <v>100</v>
      </c>
      <c r="E18" s="586">
        <f t="shared" si="23"/>
        <v>100</v>
      </c>
      <c r="F18" s="586">
        <f t="shared" si="23"/>
        <v>100</v>
      </c>
      <c r="G18" s="586">
        <f t="shared" si="23"/>
        <v>100</v>
      </c>
      <c r="H18" s="586">
        <f t="shared" si="23"/>
        <v>100</v>
      </c>
      <c r="I18" s="586">
        <f t="shared" si="23"/>
        <v>100</v>
      </c>
      <c r="J18" s="586">
        <f t="shared" si="23"/>
        <v>100</v>
      </c>
      <c r="K18" s="586">
        <f t="shared" si="23"/>
        <v>100</v>
      </c>
      <c r="L18" s="586">
        <f t="shared" si="23"/>
        <v>100</v>
      </c>
      <c r="M18" s="586">
        <f t="shared" si="23"/>
        <v>100</v>
      </c>
      <c r="N18" s="586">
        <f t="shared" si="23"/>
        <v>100</v>
      </c>
      <c r="O18" s="586">
        <f t="shared" si="23"/>
        <v>100</v>
      </c>
      <c r="P18" s="586">
        <f t="shared" si="23"/>
        <v>100</v>
      </c>
      <c r="Q18" s="586">
        <f t="shared" si="23"/>
        <v>100</v>
      </c>
      <c r="R18" s="586">
        <f t="shared" si="23"/>
        <v>100</v>
      </c>
      <c r="S18" s="586">
        <f t="shared" si="23"/>
        <v>100</v>
      </c>
      <c r="T18" s="241"/>
    </row>
    <row r="19" spans="1:20">
      <c r="A19" s="551" t="s">
        <v>50</v>
      </c>
      <c r="B19" s="587">
        <f>+B17*B18</f>
        <v>200</v>
      </c>
      <c r="C19" s="587">
        <f t="shared" ref="C19" si="24">+C17*C18</f>
        <v>600</v>
      </c>
      <c r="D19" s="587">
        <f t="shared" ref="D19" si="25">+D17*D18</f>
        <v>1100</v>
      </c>
      <c r="E19" s="587">
        <f t="shared" ref="E19" si="26">+E17*E18</f>
        <v>1900</v>
      </c>
      <c r="F19" s="587">
        <f t="shared" ref="F19" si="27">+F17*F18</f>
        <v>2700</v>
      </c>
      <c r="G19" s="587">
        <f t="shared" ref="G19" si="28">+G17*G18</f>
        <v>3900</v>
      </c>
      <c r="H19" s="587">
        <f t="shared" ref="H19" si="29">+H17*H18</f>
        <v>5000</v>
      </c>
      <c r="I19" s="587">
        <f t="shared" ref="I19" si="30">+I17*I18</f>
        <v>6300</v>
      </c>
      <c r="J19" s="587">
        <f t="shared" ref="J19" si="31">+J17*J18</f>
        <v>7700</v>
      </c>
      <c r="K19" s="587">
        <f t="shared" ref="K19" si="32">+K17*K18</f>
        <v>9300</v>
      </c>
      <c r="L19" s="587">
        <f t="shared" ref="L19" si="33">+L17*L18</f>
        <v>11000</v>
      </c>
      <c r="M19" s="587">
        <f t="shared" ref="M19" si="34">+M17*M18</f>
        <v>12800</v>
      </c>
      <c r="N19" s="587">
        <f t="shared" ref="N19" si="35">+N17*N18</f>
        <v>14700</v>
      </c>
      <c r="O19" s="587">
        <f t="shared" ref="O19" si="36">+O17*O18</f>
        <v>16600</v>
      </c>
      <c r="P19" s="587">
        <f t="shared" ref="P19" si="37">+P17*P18</f>
        <v>18600</v>
      </c>
      <c r="Q19" s="587">
        <f t="shared" ref="Q19" si="38">+Q17*Q18</f>
        <v>20800</v>
      </c>
      <c r="R19" s="587">
        <f t="shared" ref="R19" si="39">+R17*R18</f>
        <v>23000</v>
      </c>
      <c r="S19" s="587">
        <f t="shared" ref="S19" si="40">+S17*S18</f>
        <v>25300</v>
      </c>
      <c r="T19" s="587">
        <f>SUM(B19:S19)</f>
        <v>181500</v>
      </c>
    </row>
    <row r="20" spans="1:20" ht="13.5" thickBot="1"/>
    <row r="21" spans="1:20" ht="13.5" thickBot="1">
      <c r="A21" s="356"/>
      <c r="B21" s="840" t="s">
        <v>339</v>
      </c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2"/>
      <c r="N21" s="840" t="s">
        <v>340</v>
      </c>
      <c r="O21" s="841"/>
      <c r="P21" s="841"/>
      <c r="Q21" s="841"/>
      <c r="R21" s="841"/>
      <c r="S21" s="842"/>
      <c r="T21" s="438"/>
    </row>
    <row r="22" spans="1:20" ht="16.5" thickBot="1">
      <c r="A22" s="589" t="s">
        <v>423</v>
      </c>
      <c r="B22" s="580">
        <v>1</v>
      </c>
      <c r="C22" s="580">
        <v>2</v>
      </c>
      <c r="D22" s="580">
        <v>3</v>
      </c>
      <c r="E22" s="580">
        <v>4</v>
      </c>
      <c r="F22" s="580">
        <v>5</v>
      </c>
      <c r="G22" s="580">
        <v>6</v>
      </c>
      <c r="H22" s="580">
        <v>7</v>
      </c>
      <c r="I22" s="580">
        <v>8</v>
      </c>
      <c r="J22" s="580">
        <v>9</v>
      </c>
      <c r="K22" s="580">
        <v>10</v>
      </c>
      <c r="L22" s="580">
        <v>11</v>
      </c>
      <c r="M22" s="580">
        <v>12</v>
      </c>
      <c r="N22" s="580">
        <v>13</v>
      </c>
      <c r="O22" s="580">
        <v>14</v>
      </c>
      <c r="P22" s="580">
        <v>15</v>
      </c>
      <c r="Q22" s="580">
        <v>16</v>
      </c>
      <c r="R22" s="580">
        <v>17</v>
      </c>
      <c r="S22" s="580">
        <v>18</v>
      </c>
      <c r="T22" s="581" t="s">
        <v>23</v>
      </c>
    </row>
    <row r="23" spans="1:20">
      <c r="A23" s="583" t="s">
        <v>400</v>
      </c>
      <c r="B23" s="241">
        <v>0</v>
      </c>
      <c r="C23" s="241">
        <f>+B26</f>
        <v>1</v>
      </c>
      <c r="D23" s="241">
        <f t="shared" ref="D23:T23" si="41">+C26</f>
        <v>2</v>
      </c>
      <c r="E23" s="241">
        <f t="shared" si="41"/>
        <v>2</v>
      </c>
      <c r="F23" s="241">
        <f t="shared" si="41"/>
        <v>3</v>
      </c>
      <c r="G23" s="241">
        <f t="shared" si="41"/>
        <v>4</v>
      </c>
      <c r="H23" s="241">
        <f t="shared" si="41"/>
        <v>6</v>
      </c>
      <c r="I23" s="241">
        <f t="shared" si="41"/>
        <v>8</v>
      </c>
      <c r="J23" s="241">
        <f t="shared" si="41"/>
        <v>10</v>
      </c>
      <c r="K23" s="241">
        <f t="shared" si="41"/>
        <v>13</v>
      </c>
      <c r="L23" s="241">
        <f t="shared" si="41"/>
        <v>16</v>
      </c>
      <c r="M23" s="241">
        <f t="shared" si="41"/>
        <v>20</v>
      </c>
      <c r="N23" s="241">
        <f t="shared" si="41"/>
        <v>24</v>
      </c>
      <c r="O23" s="241">
        <f t="shared" si="41"/>
        <v>27</v>
      </c>
      <c r="P23" s="241">
        <f t="shared" si="41"/>
        <v>32</v>
      </c>
      <c r="Q23" s="241">
        <f t="shared" si="41"/>
        <v>37</v>
      </c>
      <c r="R23" s="241">
        <f t="shared" si="41"/>
        <v>43</v>
      </c>
      <c r="S23" s="241">
        <f t="shared" si="41"/>
        <v>49</v>
      </c>
      <c r="T23" s="241">
        <f t="shared" si="41"/>
        <v>57</v>
      </c>
    </row>
    <row r="24" spans="1:20">
      <c r="A24" s="584" t="s">
        <v>401</v>
      </c>
      <c r="B24" s="749">
        <v>1</v>
      </c>
      <c r="C24" s="749">
        <v>1</v>
      </c>
      <c r="D24" s="749">
        <v>1</v>
      </c>
      <c r="E24" s="749">
        <v>2</v>
      </c>
      <c r="F24" s="749">
        <v>2</v>
      </c>
      <c r="G24" s="749">
        <v>3</v>
      </c>
      <c r="H24" s="749">
        <v>3</v>
      </c>
      <c r="I24" s="749">
        <v>3</v>
      </c>
      <c r="J24" s="749">
        <v>4</v>
      </c>
      <c r="K24" s="749">
        <v>4</v>
      </c>
      <c r="L24" s="749">
        <v>5</v>
      </c>
      <c r="M24" s="749">
        <v>5</v>
      </c>
      <c r="N24" s="749">
        <v>5</v>
      </c>
      <c r="O24" s="749">
        <v>7</v>
      </c>
      <c r="P24" s="749">
        <v>7</v>
      </c>
      <c r="Q24" s="749">
        <v>8</v>
      </c>
      <c r="R24" s="749">
        <v>8</v>
      </c>
      <c r="S24" s="749">
        <v>10</v>
      </c>
      <c r="T24" s="582"/>
    </row>
    <row r="25" spans="1:20">
      <c r="A25" s="584" t="s">
        <v>402</v>
      </c>
      <c r="B25" s="749">
        <v>0</v>
      </c>
      <c r="C25" s="749">
        <v>0</v>
      </c>
      <c r="D25" s="749">
        <v>1</v>
      </c>
      <c r="E25" s="749">
        <v>1</v>
      </c>
      <c r="F25" s="749">
        <v>1</v>
      </c>
      <c r="G25" s="749">
        <v>1</v>
      </c>
      <c r="H25" s="749">
        <v>1</v>
      </c>
      <c r="I25" s="749">
        <v>1</v>
      </c>
      <c r="J25" s="749">
        <v>1</v>
      </c>
      <c r="K25" s="749">
        <v>1</v>
      </c>
      <c r="L25" s="749">
        <v>1</v>
      </c>
      <c r="M25" s="749">
        <v>1</v>
      </c>
      <c r="N25" s="749">
        <v>2</v>
      </c>
      <c r="O25" s="749">
        <v>2</v>
      </c>
      <c r="P25" s="749">
        <v>2</v>
      </c>
      <c r="Q25" s="749">
        <v>2</v>
      </c>
      <c r="R25" s="749">
        <v>2</v>
      </c>
      <c r="S25" s="749">
        <v>2</v>
      </c>
      <c r="T25" s="582"/>
    </row>
    <row r="26" spans="1:20">
      <c r="A26" s="584" t="s">
        <v>403</v>
      </c>
      <c r="B26" s="241">
        <f>+B23+B24-B25</f>
        <v>1</v>
      </c>
      <c r="C26" s="241">
        <f t="shared" ref="C26" si="42">+C23+C24-C25</f>
        <v>2</v>
      </c>
      <c r="D26" s="241">
        <f t="shared" ref="D26" si="43">+D23+D24-D25</f>
        <v>2</v>
      </c>
      <c r="E26" s="241">
        <f t="shared" ref="E26" si="44">+E23+E24-E25</f>
        <v>3</v>
      </c>
      <c r="F26" s="241">
        <f t="shared" ref="F26" si="45">+F23+F24-F25</f>
        <v>4</v>
      </c>
      <c r="G26" s="241">
        <f t="shared" ref="G26" si="46">+G23+G24-G25</f>
        <v>6</v>
      </c>
      <c r="H26" s="241">
        <f t="shared" ref="H26" si="47">+H23+H24-H25</f>
        <v>8</v>
      </c>
      <c r="I26" s="241">
        <f t="shared" ref="I26" si="48">+I23+I24-I25</f>
        <v>10</v>
      </c>
      <c r="J26" s="241">
        <f t="shared" ref="J26" si="49">+J23+J24-J25</f>
        <v>13</v>
      </c>
      <c r="K26" s="241">
        <f t="shared" ref="K26" si="50">+K23+K24-K25</f>
        <v>16</v>
      </c>
      <c r="L26" s="241">
        <f t="shared" ref="L26" si="51">+L23+L24-L25</f>
        <v>20</v>
      </c>
      <c r="M26" s="241">
        <f t="shared" ref="M26" si="52">+M23+M24-M25</f>
        <v>24</v>
      </c>
      <c r="N26" s="241">
        <f t="shared" ref="N26" si="53">+N23+N24-N25</f>
        <v>27</v>
      </c>
      <c r="O26" s="241">
        <f t="shared" ref="O26" si="54">+O23+O24-O25</f>
        <v>32</v>
      </c>
      <c r="P26" s="241">
        <f t="shared" ref="P26" si="55">+P23+P24-P25</f>
        <v>37</v>
      </c>
      <c r="Q26" s="241">
        <f t="shared" ref="Q26" si="56">+Q23+Q24-Q25</f>
        <v>43</v>
      </c>
      <c r="R26" s="241">
        <f t="shared" ref="R26" si="57">+R23+R24-R25</f>
        <v>49</v>
      </c>
      <c r="S26" s="241">
        <f t="shared" ref="S26" si="58">+S23+S24-S25</f>
        <v>57</v>
      </c>
      <c r="T26" s="241">
        <f t="shared" ref="T26" si="59">+T23+T24-T25</f>
        <v>57</v>
      </c>
    </row>
    <row r="27" spans="1:20">
      <c r="A27" s="585" t="s">
        <v>422</v>
      </c>
      <c r="B27" s="586">
        <v>250</v>
      </c>
      <c r="C27" s="586">
        <f>+B27</f>
        <v>250</v>
      </c>
      <c r="D27" s="586">
        <f t="shared" ref="D27:S27" si="60">+C27</f>
        <v>250</v>
      </c>
      <c r="E27" s="586">
        <f t="shared" si="60"/>
        <v>250</v>
      </c>
      <c r="F27" s="586">
        <f t="shared" si="60"/>
        <v>250</v>
      </c>
      <c r="G27" s="586">
        <f t="shared" si="60"/>
        <v>250</v>
      </c>
      <c r="H27" s="586">
        <f t="shared" si="60"/>
        <v>250</v>
      </c>
      <c r="I27" s="586">
        <f t="shared" si="60"/>
        <v>250</v>
      </c>
      <c r="J27" s="586">
        <f t="shared" si="60"/>
        <v>250</v>
      </c>
      <c r="K27" s="586">
        <f t="shared" si="60"/>
        <v>250</v>
      </c>
      <c r="L27" s="586">
        <f t="shared" si="60"/>
        <v>250</v>
      </c>
      <c r="M27" s="586">
        <f t="shared" si="60"/>
        <v>250</v>
      </c>
      <c r="N27" s="586">
        <f t="shared" si="60"/>
        <v>250</v>
      </c>
      <c r="O27" s="586">
        <f t="shared" si="60"/>
        <v>250</v>
      </c>
      <c r="P27" s="586">
        <f t="shared" si="60"/>
        <v>250</v>
      </c>
      <c r="Q27" s="586">
        <f t="shared" si="60"/>
        <v>250</v>
      </c>
      <c r="R27" s="586">
        <f t="shared" si="60"/>
        <v>250</v>
      </c>
      <c r="S27" s="586">
        <f t="shared" si="60"/>
        <v>250</v>
      </c>
      <c r="T27" s="241"/>
    </row>
    <row r="28" spans="1:20">
      <c r="A28" s="551" t="s">
        <v>50</v>
      </c>
      <c r="B28" s="587">
        <f>+B26*B27</f>
        <v>250</v>
      </c>
      <c r="C28" s="587">
        <f t="shared" ref="C28" si="61">+C26*C27</f>
        <v>500</v>
      </c>
      <c r="D28" s="587">
        <f t="shared" ref="D28" si="62">+D26*D27</f>
        <v>500</v>
      </c>
      <c r="E28" s="587">
        <f t="shared" ref="E28" si="63">+E26*E27</f>
        <v>750</v>
      </c>
      <c r="F28" s="587">
        <f t="shared" ref="F28" si="64">+F26*F27</f>
        <v>1000</v>
      </c>
      <c r="G28" s="587">
        <f t="shared" ref="G28" si="65">+G26*G27</f>
        <v>1500</v>
      </c>
      <c r="H28" s="587">
        <f t="shared" ref="H28" si="66">+H26*H27</f>
        <v>2000</v>
      </c>
      <c r="I28" s="587">
        <f t="shared" ref="I28" si="67">+I26*I27</f>
        <v>2500</v>
      </c>
      <c r="J28" s="587">
        <f t="shared" ref="J28" si="68">+J26*J27</f>
        <v>3250</v>
      </c>
      <c r="K28" s="587">
        <f t="shared" ref="K28" si="69">+K26*K27</f>
        <v>4000</v>
      </c>
      <c r="L28" s="587">
        <f t="shared" ref="L28" si="70">+L26*L27</f>
        <v>5000</v>
      </c>
      <c r="M28" s="587">
        <f t="shared" ref="M28" si="71">+M26*M27</f>
        <v>6000</v>
      </c>
      <c r="N28" s="587">
        <f t="shared" ref="N28" si="72">+N26*N27</f>
        <v>6750</v>
      </c>
      <c r="O28" s="587">
        <f t="shared" ref="O28" si="73">+O26*O27</f>
        <v>8000</v>
      </c>
      <c r="P28" s="587">
        <f t="shared" ref="P28" si="74">+P26*P27</f>
        <v>9250</v>
      </c>
      <c r="Q28" s="587">
        <f t="shared" ref="Q28" si="75">+Q26*Q27</f>
        <v>10750</v>
      </c>
      <c r="R28" s="587">
        <f t="shared" ref="R28" si="76">+R26*R27</f>
        <v>12250</v>
      </c>
      <c r="S28" s="587">
        <f t="shared" ref="S28" si="77">+S26*S27</f>
        <v>14250</v>
      </c>
      <c r="T28" s="587">
        <f>SUM(B28:S28)</f>
        <v>88500</v>
      </c>
    </row>
    <row r="30" spans="1:20" s="590" customFormat="1">
      <c r="A30" s="590" t="s">
        <v>23</v>
      </c>
      <c r="B30" s="591">
        <f>+B28+B19+B10</f>
        <v>550</v>
      </c>
      <c r="C30" s="591">
        <f t="shared" ref="C30:S30" si="78">+C28+C19+C10</f>
        <v>1300</v>
      </c>
      <c r="D30" s="591">
        <f t="shared" si="78"/>
        <v>1900</v>
      </c>
      <c r="E30" s="591">
        <f t="shared" si="78"/>
        <v>3000</v>
      </c>
      <c r="F30" s="591">
        <f t="shared" si="78"/>
        <v>4050</v>
      </c>
      <c r="G30" s="591">
        <f t="shared" si="78"/>
        <v>5850</v>
      </c>
      <c r="H30" s="591">
        <f t="shared" si="78"/>
        <v>7650</v>
      </c>
      <c r="I30" s="591">
        <f t="shared" si="78"/>
        <v>9650</v>
      </c>
      <c r="J30" s="591">
        <f t="shared" si="78"/>
        <v>12000</v>
      </c>
      <c r="K30" s="591">
        <f t="shared" si="78"/>
        <v>14550</v>
      </c>
      <c r="L30" s="591">
        <f t="shared" si="78"/>
        <v>17750</v>
      </c>
      <c r="M30" s="591">
        <f t="shared" si="78"/>
        <v>21200</v>
      </c>
      <c r="N30" s="591">
        <f t="shared" si="78"/>
        <v>24600</v>
      </c>
      <c r="O30" s="591">
        <f t="shared" si="78"/>
        <v>28700</v>
      </c>
      <c r="P30" s="591">
        <f t="shared" si="78"/>
        <v>33050</v>
      </c>
      <c r="Q30" s="591">
        <f t="shared" si="78"/>
        <v>38250</v>
      </c>
      <c r="R30" s="591">
        <f t="shared" si="78"/>
        <v>43850</v>
      </c>
      <c r="S30" s="591">
        <f t="shared" si="78"/>
        <v>51450</v>
      </c>
      <c r="T30" s="591">
        <f t="shared" ref="T30" si="79">+T28+T19+T10</f>
        <v>319350</v>
      </c>
    </row>
    <row r="33" spans="1:20">
      <c r="A33" s="737" t="s">
        <v>345</v>
      </c>
      <c r="B33" s="738">
        <f>+B30</f>
        <v>550</v>
      </c>
      <c r="C33" s="738">
        <f t="shared" ref="C33:T33" si="80">+C30</f>
        <v>1300</v>
      </c>
      <c r="D33" s="738">
        <f t="shared" si="80"/>
        <v>1900</v>
      </c>
      <c r="E33" s="738">
        <f t="shared" si="80"/>
        <v>3000</v>
      </c>
      <c r="F33" s="738">
        <f t="shared" si="80"/>
        <v>4050</v>
      </c>
      <c r="G33" s="738">
        <f t="shared" si="80"/>
        <v>5850</v>
      </c>
      <c r="H33" s="738">
        <f t="shared" si="80"/>
        <v>7650</v>
      </c>
      <c r="I33" s="738">
        <f t="shared" si="80"/>
        <v>9650</v>
      </c>
      <c r="J33" s="738">
        <f t="shared" si="80"/>
        <v>12000</v>
      </c>
      <c r="K33" s="738">
        <f t="shared" si="80"/>
        <v>14550</v>
      </c>
      <c r="L33" s="738">
        <f t="shared" si="80"/>
        <v>17750</v>
      </c>
      <c r="M33" s="738">
        <f t="shared" si="80"/>
        <v>21200</v>
      </c>
      <c r="N33" s="738">
        <f t="shared" si="80"/>
        <v>24600</v>
      </c>
      <c r="O33" s="738">
        <f t="shared" si="80"/>
        <v>28700</v>
      </c>
      <c r="P33" s="738">
        <f t="shared" si="80"/>
        <v>33050</v>
      </c>
      <c r="Q33" s="738">
        <f t="shared" si="80"/>
        <v>38250</v>
      </c>
      <c r="R33" s="738">
        <f t="shared" si="80"/>
        <v>43850</v>
      </c>
      <c r="S33" s="738">
        <f t="shared" si="80"/>
        <v>51450</v>
      </c>
      <c r="T33" s="739">
        <f t="shared" si="80"/>
        <v>319350</v>
      </c>
    </row>
    <row r="34" spans="1:20">
      <c r="A34" s="740" t="s">
        <v>466</v>
      </c>
      <c r="B34" s="741">
        <f>+B33*12</f>
        <v>6600</v>
      </c>
      <c r="C34" s="741">
        <f t="shared" ref="C34:T34" si="81">+C33*12</f>
        <v>15600</v>
      </c>
      <c r="D34" s="741">
        <f t="shared" si="81"/>
        <v>22800</v>
      </c>
      <c r="E34" s="741">
        <f t="shared" si="81"/>
        <v>36000</v>
      </c>
      <c r="F34" s="741">
        <f t="shared" si="81"/>
        <v>48600</v>
      </c>
      <c r="G34" s="741">
        <f t="shared" si="81"/>
        <v>70200</v>
      </c>
      <c r="H34" s="741">
        <f t="shared" si="81"/>
        <v>91800</v>
      </c>
      <c r="I34" s="741">
        <f t="shared" si="81"/>
        <v>115800</v>
      </c>
      <c r="J34" s="741">
        <f t="shared" si="81"/>
        <v>144000</v>
      </c>
      <c r="K34" s="741">
        <f t="shared" si="81"/>
        <v>174600</v>
      </c>
      <c r="L34" s="741">
        <f t="shared" si="81"/>
        <v>213000</v>
      </c>
      <c r="M34" s="741">
        <f t="shared" si="81"/>
        <v>254400</v>
      </c>
      <c r="N34" s="741">
        <f t="shared" si="81"/>
        <v>295200</v>
      </c>
      <c r="O34" s="741">
        <f t="shared" si="81"/>
        <v>344400</v>
      </c>
      <c r="P34" s="741">
        <f t="shared" si="81"/>
        <v>396600</v>
      </c>
      <c r="Q34" s="741">
        <f t="shared" si="81"/>
        <v>459000</v>
      </c>
      <c r="R34" s="741">
        <f t="shared" si="81"/>
        <v>526200</v>
      </c>
      <c r="S34" s="741">
        <f t="shared" si="81"/>
        <v>617400</v>
      </c>
      <c r="T34" s="742">
        <f t="shared" si="81"/>
        <v>3832200</v>
      </c>
    </row>
  </sheetData>
  <sheetProtection sheet="1" objects="1" scenarios="1"/>
  <mergeCells count="6">
    <mergeCell ref="B3:M3"/>
    <mergeCell ref="N3:S3"/>
    <mergeCell ref="B12:M12"/>
    <mergeCell ref="N12:S12"/>
    <mergeCell ref="B21:M21"/>
    <mergeCell ref="N21:S21"/>
  </mergeCells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K28"/>
  <sheetViews>
    <sheetView workbookViewId="0">
      <selection activeCell="E15" sqref="E15"/>
    </sheetView>
  </sheetViews>
  <sheetFormatPr defaultRowHeight="12.75" outlineLevelCol="1"/>
  <cols>
    <col min="1" max="1" width="3" style="437" customWidth="1"/>
    <col min="2" max="2" width="23.7109375" style="438" customWidth="1"/>
    <col min="3" max="3" width="11.140625" style="437" customWidth="1"/>
    <col min="4" max="4" width="8.140625" style="438" customWidth="1"/>
    <col min="5" max="5" width="10.28515625" style="438" customWidth="1"/>
    <col min="6" max="6" width="11.5703125" style="438" hidden="1" customWidth="1" outlineLevel="1"/>
    <col min="7" max="7" width="8.7109375" style="438" hidden="1" customWidth="1" outlineLevel="1"/>
    <col min="8" max="8" width="10.28515625" style="438" hidden="1" customWidth="1" outlineLevel="1"/>
    <col min="9" max="9" width="9.85546875" style="438" hidden="1" customWidth="1" outlineLevel="1"/>
    <col min="10" max="10" width="8.7109375" style="438" hidden="1" customWidth="1" outlineLevel="1"/>
    <col min="11" max="11" width="8.5703125" style="438" hidden="1" customWidth="1" outlineLevel="1"/>
    <col min="12" max="12" width="11.140625" style="439" hidden="1" customWidth="1" outlineLevel="1"/>
    <col min="13" max="13" width="8.140625" style="438" hidden="1" customWidth="1" outlineLevel="1"/>
    <col min="14" max="14" width="8.140625" style="445" hidden="1" customWidth="1" outlineLevel="1"/>
    <col min="15" max="15" width="11.85546875" style="438" hidden="1" customWidth="1" outlineLevel="1"/>
    <col min="16" max="17" width="10.140625" style="438" customWidth="1" collapsed="1"/>
    <col min="18" max="18" width="3.5703125" style="438" customWidth="1"/>
    <col min="19" max="19" width="10.140625" style="438" customWidth="1"/>
    <col min="20" max="22" width="10.28515625" style="438" bestFit="1" customWidth="1"/>
    <col min="23" max="23" width="9.140625" style="438"/>
    <col min="24" max="24" width="11.7109375" style="438" customWidth="1"/>
    <col min="25" max="25" width="9.140625" style="438"/>
    <col min="26" max="26" width="11.28515625" style="438" customWidth="1"/>
    <col min="27" max="36" width="9.140625" style="438"/>
    <col min="37" max="37" width="11.28515625" style="438" customWidth="1"/>
    <col min="38" max="255" width="9.140625" style="438"/>
    <col min="256" max="256" width="1.85546875" style="438" customWidth="1"/>
    <col min="257" max="257" width="16.5703125" style="438" bestFit="1" customWidth="1"/>
    <col min="258" max="258" width="9.5703125" style="438" bestFit="1" customWidth="1"/>
    <col min="259" max="260" width="9.140625" style="438"/>
    <col min="261" max="261" width="10.28515625" style="438" customWidth="1"/>
    <col min="262" max="262" width="9.28515625" style="438" customWidth="1"/>
    <col min="263" max="263" width="8.7109375" style="438" customWidth="1"/>
    <col min="264" max="264" width="10.28515625" style="438" customWidth="1"/>
    <col min="265" max="265" width="9.85546875" style="438" bestFit="1" customWidth="1"/>
    <col min="266" max="266" width="8.7109375" style="438" customWidth="1"/>
    <col min="267" max="267" width="8.5703125" style="438" customWidth="1"/>
    <col min="268" max="268" width="9.28515625" style="438" customWidth="1"/>
    <col min="269" max="270" width="8.42578125" style="438" customWidth="1"/>
    <col min="271" max="271" width="8.140625" style="438" customWidth="1"/>
    <col min="272" max="272" width="11.85546875" style="438" customWidth="1"/>
    <col min="273" max="273" width="10.140625" style="438" customWidth="1"/>
    <col min="274" max="274" width="3.5703125" style="438" customWidth="1"/>
    <col min="275" max="275" width="3.28515625" style="438" customWidth="1"/>
    <col min="276" max="276" width="10.140625" style="438" customWidth="1"/>
    <col min="277" max="511" width="9.140625" style="438"/>
    <col min="512" max="512" width="1.85546875" style="438" customWidth="1"/>
    <col min="513" max="513" width="16.5703125" style="438" bestFit="1" customWidth="1"/>
    <col min="514" max="514" width="9.5703125" style="438" bestFit="1" customWidth="1"/>
    <col min="515" max="516" width="9.140625" style="438"/>
    <col min="517" max="517" width="10.28515625" style="438" customWidth="1"/>
    <col min="518" max="518" width="9.28515625" style="438" customWidth="1"/>
    <col min="519" max="519" width="8.7109375" style="438" customWidth="1"/>
    <col min="520" max="520" width="10.28515625" style="438" customWidth="1"/>
    <col min="521" max="521" width="9.85546875" style="438" bestFit="1" customWidth="1"/>
    <col min="522" max="522" width="8.7109375" style="438" customWidth="1"/>
    <col min="523" max="523" width="8.5703125" style="438" customWidth="1"/>
    <col min="524" max="524" width="9.28515625" style="438" customWidth="1"/>
    <col min="525" max="526" width="8.42578125" style="438" customWidth="1"/>
    <col min="527" max="527" width="8.140625" style="438" customWidth="1"/>
    <col min="528" max="528" width="11.85546875" style="438" customWidth="1"/>
    <col min="529" max="529" width="10.140625" style="438" customWidth="1"/>
    <col min="530" max="530" width="3.5703125" style="438" customWidth="1"/>
    <col min="531" max="531" width="3.28515625" style="438" customWidth="1"/>
    <col min="532" max="532" width="10.140625" style="438" customWidth="1"/>
    <col min="533" max="767" width="9.140625" style="438"/>
    <col min="768" max="768" width="1.85546875" style="438" customWidth="1"/>
    <col min="769" max="769" width="16.5703125" style="438" bestFit="1" customWidth="1"/>
    <col min="770" max="770" width="9.5703125" style="438" bestFit="1" customWidth="1"/>
    <col min="771" max="772" width="9.140625" style="438"/>
    <col min="773" max="773" width="10.28515625" style="438" customWidth="1"/>
    <col min="774" max="774" width="9.28515625" style="438" customWidth="1"/>
    <col min="775" max="775" width="8.7109375" style="438" customWidth="1"/>
    <col min="776" max="776" width="10.28515625" style="438" customWidth="1"/>
    <col min="777" max="777" width="9.85546875" style="438" bestFit="1" customWidth="1"/>
    <col min="778" max="778" width="8.7109375" style="438" customWidth="1"/>
    <col min="779" max="779" width="8.5703125" style="438" customWidth="1"/>
    <col min="780" max="780" width="9.28515625" style="438" customWidth="1"/>
    <col min="781" max="782" width="8.42578125" style="438" customWidth="1"/>
    <col min="783" max="783" width="8.140625" style="438" customWidth="1"/>
    <col min="784" max="784" width="11.85546875" style="438" customWidth="1"/>
    <col min="785" max="785" width="10.140625" style="438" customWidth="1"/>
    <col min="786" max="786" width="3.5703125" style="438" customWidth="1"/>
    <col min="787" max="787" width="3.28515625" style="438" customWidth="1"/>
    <col min="788" max="788" width="10.140625" style="438" customWidth="1"/>
    <col min="789" max="1023" width="9.140625" style="438"/>
    <col min="1024" max="1024" width="1.85546875" style="438" customWidth="1"/>
    <col min="1025" max="1025" width="16.5703125" style="438" bestFit="1" customWidth="1"/>
    <col min="1026" max="1026" width="9.5703125" style="438" bestFit="1" customWidth="1"/>
    <col min="1027" max="1028" width="9.140625" style="438"/>
    <col min="1029" max="1029" width="10.28515625" style="438" customWidth="1"/>
    <col min="1030" max="1030" width="9.28515625" style="438" customWidth="1"/>
    <col min="1031" max="1031" width="8.7109375" style="438" customWidth="1"/>
    <col min="1032" max="1032" width="10.28515625" style="438" customWidth="1"/>
    <col min="1033" max="1033" width="9.85546875" style="438" bestFit="1" customWidth="1"/>
    <col min="1034" max="1034" width="8.7109375" style="438" customWidth="1"/>
    <col min="1035" max="1035" width="8.5703125" style="438" customWidth="1"/>
    <col min="1036" max="1036" width="9.28515625" style="438" customWidth="1"/>
    <col min="1037" max="1038" width="8.42578125" style="438" customWidth="1"/>
    <col min="1039" max="1039" width="8.140625" style="438" customWidth="1"/>
    <col min="1040" max="1040" width="11.85546875" style="438" customWidth="1"/>
    <col min="1041" max="1041" width="10.140625" style="438" customWidth="1"/>
    <col min="1042" max="1042" width="3.5703125" style="438" customWidth="1"/>
    <col min="1043" max="1043" width="3.28515625" style="438" customWidth="1"/>
    <col min="1044" max="1044" width="10.140625" style="438" customWidth="1"/>
    <col min="1045" max="1279" width="9.140625" style="438"/>
    <col min="1280" max="1280" width="1.85546875" style="438" customWidth="1"/>
    <col min="1281" max="1281" width="16.5703125" style="438" bestFit="1" customWidth="1"/>
    <col min="1282" max="1282" width="9.5703125" style="438" bestFit="1" customWidth="1"/>
    <col min="1283" max="1284" width="9.140625" style="438"/>
    <col min="1285" max="1285" width="10.28515625" style="438" customWidth="1"/>
    <col min="1286" max="1286" width="9.28515625" style="438" customWidth="1"/>
    <col min="1287" max="1287" width="8.7109375" style="438" customWidth="1"/>
    <col min="1288" max="1288" width="10.28515625" style="438" customWidth="1"/>
    <col min="1289" max="1289" width="9.85546875" style="438" bestFit="1" customWidth="1"/>
    <col min="1290" max="1290" width="8.7109375" style="438" customWidth="1"/>
    <col min="1291" max="1291" width="8.5703125" style="438" customWidth="1"/>
    <col min="1292" max="1292" width="9.28515625" style="438" customWidth="1"/>
    <col min="1293" max="1294" width="8.42578125" style="438" customWidth="1"/>
    <col min="1295" max="1295" width="8.140625" style="438" customWidth="1"/>
    <col min="1296" max="1296" width="11.85546875" style="438" customWidth="1"/>
    <col min="1297" max="1297" width="10.140625" style="438" customWidth="1"/>
    <col min="1298" max="1298" width="3.5703125" style="438" customWidth="1"/>
    <col min="1299" max="1299" width="3.28515625" style="438" customWidth="1"/>
    <col min="1300" max="1300" width="10.140625" style="438" customWidth="1"/>
    <col min="1301" max="1535" width="9.140625" style="438"/>
    <col min="1536" max="1536" width="1.85546875" style="438" customWidth="1"/>
    <col min="1537" max="1537" width="16.5703125" style="438" bestFit="1" customWidth="1"/>
    <col min="1538" max="1538" width="9.5703125" style="438" bestFit="1" customWidth="1"/>
    <col min="1539" max="1540" width="9.140625" style="438"/>
    <col min="1541" max="1541" width="10.28515625" style="438" customWidth="1"/>
    <col min="1542" max="1542" width="9.28515625" style="438" customWidth="1"/>
    <col min="1543" max="1543" width="8.7109375" style="438" customWidth="1"/>
    <col min="1544" max="1544" width="10.28515625" style="438" customWidth="1"/>
    <col min="1545" max="1545" width="9.85546875" style="438" bestFit="1" customWidth="1"/>
    <col min="1546" max="1546" width="8.7109375" style="438" customWidth="1"/>
    <col min="1547" max="1547" width="8.5703125" style="438" customWidth="1"/>
    <col min="1548" max="1548" width="9.28515625" style="438" customWidth="1"/>
    <col min="1549" max="1550" width="8.42578125" style="438" customWidth="1"/>
    <col min="1551" max="1551" width="8.140625" style="438" customWidth="1"/>
    <col min="1552" max="1552" width="11.85546875" style="438" customWidth="1"/>
    <col min="1553" max="1553" width="10.140625" style="438" customWidth="1"/>
    <col min="1554" max="1554" width="3.5703125" style="438" customWidth="1"/>
    <col min="1555" max="1555" width="3.28515625" style="438" customWidth="1"/>
    <col min="1556" max="1556" width="10.140625" style="438" customWidth="1"/>
    <col min="1557" max="1791" width="9.140625" style="438"/>
    <col min="1792" max="1792" width="1.85546875" style="438" customWidth="1"/>
    <col min="1793" max="1793" width="16.5703125" style="438" bestFit="1" customWidth="1"/>
    <col min="1794" max="1794" width="9.5703125" style="438" bestFit="1" customWidth="1"/>
    <col min="1795" max="1796" width="9.140625" style="438"/>
    <col min="1797" max="1797" width="10.28515625" style="438" customWidth="1"/>
    <col min="1798" max="1798" width="9.28515625" style="438" customWidth="1"/>
    <col min="1799" max="1799" width="8.7109375" style="438" customWidth="1"/>
    <col min="1800" max="1800" width="10.28515625" style="438" customWidth="1"/>
    <col min="1801" max="1801" width="9.85546875" style="438" bestFit="1" customWidth="1"/>
    <col min="1802" max="1802" width="8.7109375" style="438" customWidth="1"/>
    <col min="1803" max="1803" width="8.5703125" style="438" customWidth="1"/>
    <col min="1804" max="1804" width="9.28515625" style="438" customWidth="1"/>
    <col min="1805" max="1806" width="8.42578125" style="438" customWidth="1"/>
    <col min="1807" max="1807" width="8.140625" style="438" customWidth="1"/>
    <col min="1808" max="1808" width="11.85546875" style="438" customWidth="1"/>
    <col min="1809" max="1809" width="10.140625" style="438" customWidth="1"/>
    <col min="1810" max="1810" width="3.5703125" style="438" customWidth="1"/>
    <col min="1811" max="1811" width="3.28515625" style="438" customWidth="1"/>
    <col min="1812" max="1812" width="10.140625" style="438" customWidth="1"/>
    <col min="1813" max="2047" width="9.140625" style="438"/>
    <col min="2048" max="2048" width="1.85546875" style="438" customWidth="1"/>
    <col min="2049" max="2049" width="16.5703125" style="438" bestFit="1" customWidth="1"/>
    <col min="2050" max="2050" width="9.5703125" style="438" bestFit="1" customWidth="1"/>
    <col min="2051" max="2052" width="9.140625" style="438"/>
    <col min="2053" max="2053" width="10.28515625" style="438" customWidth="1"/>
    <col min="2054" max="2054" width="9.28515625" style="438" customWidth="1"/>
    <col min="2055" max="2055" width="8.7109375" style="438" customWidth="1"/>
    <col min="2056" max="2056" width="10.28515625" style="438" customWidth="1"/>
    <col min="2057" max="2057" width="9.85546875" style="438" bestFit="1" customWidth="1"/>
    <col min="2058" max="2058" width="8.7109375" style="438" customWidth="1"/>
    <col min="2059" max="2059" width="8.5703125" style="438" customWidth="1"/>
    <col min="2060" max="2060" width="9.28515625" style="438" customWidth="1"/>
    <col min="2061" max="2062" width="8.42578125" style="438" customWidth="1"/>
    <col min="2063" max="2063" width="8.140625" style="438" customWidth="1"/>
    <col min="2064" max="2064" width="11.85546875" style="438" customWidth="1"/>
    <col min="2065" max="2065" width="10.140625" style="438" customWidth="1"/>
    <col min="2066" max="2066" width="3.5703125" style="438" customWidth="1"/>
    <col min="2067" max="2067" width="3.28515625" style="438" customWidth="1"/>
    <col min="2068" max="2068" width="10.140625" style="438" customWidth="1"/>
    <col min="2069" max="2303" width="9.140625" style="438"/>
    <col min="2304" max="2304" width="1.85546875" style="438" customWidth="1"/>
    <col min="2305" max="2305" width="16.5703125" style="438" bestFit="1" customWidth="1"/>
    <col min="2306" max="2306" width="9.5703125" style="438" bestFit="1" customWidth="1"/>
    <col min="2307" max="2308" width="9.140625" style="438"/>
    <col min="2309" max="2309" width="10.28515625" style="438" customWidth="1"/>
    <col min="2310" max="2310" width="9.28515625" style="438" customWidth="1"/>
    <col min="2311" max="2311" width="8.7109375" style="438" customWidth="1"/>
    <col min="2312" max="2312" width="10.28515625" style="438" customWidth="1"/>
    <col min="2313" max="2313" width="9.85546875" style="438" bestFit="1" customWidth="1"/>
    <col min="2314" max="2314" width="8.7109375" style="438" customWidth="1"/>
    <col min="2315" max="2315" width="8.5703125" style="438" customWidth="1"/>
    <col min="2316" max="2316" width="9.28515625" style="438" customWidth="1"/>
    <col min="2317" max="2318" width="8.42578125" style="438" customWidth="1"/>
    <col min="2319" max="2319" width="8.140625" style="438" customWidth="1"/>
    <col min="2320" max="2320" width="11.85546875" style="438" customWidth="1"/>
    <col min="2321" max="2321" width="10.140625" style="438" customWidth="1"/>
    <col min="2322" max="2322" width="3.5703125" style="438" customWidth="1"/>
    <col min="2323" max="2323" width="3.28515625" style="438" customWidth="1"/>
    <col min="2324" max="2324" width="10.140625" style="438" customWidth="1"/>
    <col min="2325" max="2559" width="9.140625" style="438"/>
    <col min="2560" max="2560" width="1.85546875" style="438" customWidth="1"/>
    <col min="2561" max="2561" width="16.5703125" style="438" bestFit="1" customWidth="1"/>
    <col min="2562" max="2562" width="9.5703125" style="438" bestFit="1" customWidth="1"/>
    <col min="2563" max="2564" width="9.140625" style="438"/>
    <col min="2565" max="2565" width="10.28515625" style="438" customWidth="1"/>
    <col min="2566" max="2566" width="9.28515625" style="438" customWidth="1"/>
    <col min="2567" max="2567" width="8.7109375" style="438" customWidth="1"/>
    <col min="2568" max="2568" width="10.28515625" style="438" customWidth="1"/>
    <col min="2569" max="2569" width="9.85546875" style="438" bestFit="1" customWidth="1"/>
    <col min="2570" max="2570" width="8.7109375" style="438" customWidth="1"/>
    <col min="2571" max="2571" width="8.5703125" style="438" customWidth="1"/>
    <col min="2572" max="2572" width="9.28515625" style="438" customWidth="1"/>
    <col min="2573" max="2574" width="8.42578125" style="438" customWidth="1"/>
    <col min="2575" max="2575" width="8.140625" style="438" customWidth="1"/>
    <col min="2576" max="2576" width="11.85546875" style="438" customWidth="1"/>
    <col min="2577" max="2577" width="10.140625" style="438" customWidth="1"/>
    <col min="2578" max="2578" width="3.5703125" style="438" customWidth="1"/>
    <col min="2579" max="2579" width="3.28515625" style="438" customWidth="1"/>
    <col min="2580" max="2580" width="10.140625" style="438" customWidth="1"/>
    <col min="2581" max="2815" width="9.140625" style="438"/>
    <col min="2816" max="2816" width="1.85546875" style="438" customWidth="1"/>
    <col min="2817" max="2817" width="16.5703125" style="438" bestFit="1" customWidth="1"/>
    <col min="2818" max="2818" width="9.5703125" style="438" bestFit="1" customWidth="1"/>
    <col min="2819" max="2820" width="9.140625" style="438"/>
    <col min="2821" max="2821" width="10.28515625" style="438" customWidth="1"/>
    <col min="2822" max="2822" width="9.28515625" style="438" customWidth="1"/>
    <col min="2823" max="2823" width="8.7109375" style="438" customWidth="1"/>
    <col min="2824" max="2824" width="10.28515625" style="438" customWidth="1"/>
    <col min="2825" max="2825" width="9.85546875" style="438" bestFit="1" customWidth="1"/>
    <col min="2826" max="2826" width="8.7109375" style="438" customWidth="1"/>
    <col min="2827" max="2827" width="8.5703125" style="438" customWidth="1"/>
    <col min="2828" max="2828" width="9.28515625" style="438" customWidth="1"/>
    <col min="2829" max="2830" width="8.42578125" style="438" customWidth="1"/>
    <col min="2831" max="2831" width="8.140625" style="438" customWidth="1"/>
    <col min="2832" max="2832" width="11.85546875" style="438" customWidth="1"/>
    <col min="2833" max="2833" width="10.140625" style="438" customWidth="1"/>
    <col min="2834" max="2834" width="3.5703125" style="438" customWidth="1"/>
    <col min="2835" max="2835" width="3.28515625" style="438" customWidth="1"/>
    <col min="2836" max="2836" width="10.140625" style="438" customWidth="1"/>
    <col min="2837" max="3071" width="9.140625" style="438"/>
    <col min="3072" max="3072" width="1.85546875" style="438" customWidth="1"/>
    <col min="3073" max="3073" width="16.5703125" style="438" bestFit="1" customWidth="1"/>
    <col min="3074" max="3074" width="9.5703125" style="438" bestFit="1" customWidth="1"/>
    <col min="3075" max="3076" width="9.140625" style="438"/>
    <col min="3077" max="3077" width="10.28515625" style="438" customWidth="1"/>
    <col min="3078" max="3078" width="9.28515625" style="438" customWidth="1"/>
    <col min="3079" max="3079" width="8.7109375" style="438" customWidth="1"/>
    <col min="3080" max="3080" width="10.28515625" style="438" customWidth="1"/>
    <col min="3081" max="3081" width="9.85546875" style="438" bestFit="1" customWidth="1"/>
    <col min="3082" max="3082" width="8.7109375" style="438" customWidth="1"/>
    <col min="3083" max="3083" width="8.5703125" style="438" customWidth="1"/>
    <col min="3084" max="3084" width="9.28515625" style="438" customWidth="1"/>
    <col min="3085" max="3086" width="8.42578125" style="438" customWidth="1"/>
    <col min="3087" max="3087" width="8.140625" style="438" customWidth="1"/>
    <col min="3088" max="3088" width="11.85546875" style="438" customWidth="1"/>
    <col min="3089" max="3089" width="10.140625" style="438" customWidth="1"/>
    <col min="3090" max="3090" width="3.5703125" style="438" customWidth="1"/>
    <col min="3091" max="3091" width="3.28515625" style="438" customWidth="1"/>
    <col min="3092" max="3092" width="10.140625" style="438" customWidth="1"/>
    <col min="3093" max="3327" width="9.140625" style="438"/>
    <col min="3328" max="3328" width="1.85546875" style="438" customWidth="1"/>
    <col min="3329" max="3329" width="16.5703125" style="438" bestFit="1" customWidth="1"/>
    <col min="3330" max="3330" width="9.5703125" style="438" bestFit="1" customWidth="1"/>
    <col min="3331" max="3332" width="9.140625" style="438"/>
    <col min="3333" max="3333" width="10.28515625" style="438" customWidth="1"/>
    <col min="3334" max="3334" width="9.28515625" style="438" customWidth="1"/>
    <col min="3335" max="3335" width="8.7109375" style="438" customWidth="1"/>
    <col min="3336" max="3336" width="10.28515625" style="438" customWidth="1"/>
    <col min="3337" max="3337" width="9.85546875" style="438" bestFit="1" customWidth="1"/>
    <col min="3338" max="3338" width="8.7109375" style="438" customWidth="1"/>
    <col min="3339" max="3339" width="8.5703125" style="438" customWidth="1"/>
    <col min="3340" max="3340" width="9.28515625" style="438" customWidth="1"/>
    <col min="3341" max="3342" width="8.42578125" style="438" customWidth="1"/>
    <col min="3343" max="3343" width="8.140625" style="438" customWidth="1"/>
    <col min="3344" max="3344" width="11.85546875" style="438" customWidth="1"/>
    <col min="3345" max="3345" width="10.140625" style="438" customWidth="1"/>
    <col min="3346" max="3346" width="3.5703125" style="438" customWidth="1"/>
    <col min="3347" max="3347" width="3.28515625" style="438" customWidth="1"/>
    <col min="3348" max="3348" width="10.140625" style="438" customWidth="1"/>
    <col min="3349" max="3583" width="9.140625" style="438"/>
    <col min="3584" max="3584" width="1.85546875" style="438" customWidth="1"/>
    <col min="3585" max="3585" width="16.5703125" style="438" bestFit="1" customWidth="1"/>
    <col min="3586" max="3586" width="9.5703125" style="438" bestFit="1" customWidth="1"/>
    <col min="3587" max="3588" width="9.140625" style="438"/>
    <col min="3589" max="3589" width="10.28515625" style="438" customWidth="1"/>
    <col min="3590" max="3590" width="9.28515625" style="438" customWidth="1"/>
    <col min="3591" max="3591" width="8.7109375" style="438" customWidth="1"/>
    <col min="3592" max="3592" width="10.28515625" style="438" customWidth="1"/>
    <col min="3593" max="3593" width="9.85546875" style="438" bestFit="1" customWidth="1"/>
    <col min="3594" max="3594" width="8.7109375" style="438" customWidth="1"/>
    <col min="3595" max="3595" width="8.5703125" style="438" customWidth="1"/>
    <col min="3596" max="3596" width="9.28515625" style="438" customWidth="1"/>
    <col min="3597" max="3598" width="8.42578125" style="438" customWidth="1"/>
    <col min="3599" max="3599" width="8.140625" style="438" customWidth="1"/>
    <col min="3600" max="3600" width="11.85546875" style="438" customWidth="1"/>
    <col min="3601" max="3601" width="10.140625" style="438" customWidth="1"/>
    <col min="3602" max="3602" width="3.5703125" style="438" customWidth="1"/>
    <col min="3603" max="3603" width="3.28515625" style="438" customWidth="1"/>
    <col min="3604" max="3604" width="10.140625" style="438" customWidth="1"/>
    <col min="3605" max="3839" width="9.140625" style="438"/>
    <col min="3840" max="3840" width="1.85546875" style="438" customWidth="1"/>
    <col min="3841" max="3841" width="16.5703125" style="438" bestFit="1" customWidth="1"/>
    <col min="3842" max="3842" width="9.5703125" style="438" bestFit="1" customWidth="1"/>
    <col min="3843" max="3844" width="9.140625" style="438"/>
    <col min="3845" max="3845" width="10.28515625" style="438" customWidth="1"/>
    <col min="3846" max="3846" width="9.28515625" style="438" customWidth="1"/>
    <col min="3847" max="3847" width="8.7109375" style="438" customWidth="1"/>
    <col min="3848" max="3848" width="10.28515625" style="438" customWidth="1"/>
    <col min="3849" max="3849" width="9.85546875" style="438" bestFit="1" customWidth="1"/>
    <col min="3850" max="3850" width="8.7109375" style="438" customWidth="1"/>
    <col min="3851" max="3851" width="8.5703125" style="438" customWidth="1"/>
    <col min="3852" max="3852" width="9.28515625" style="438" customWidth="1"/>
    <col min="3853" max="3854" width="8.42578125" style="438" customWidth="1"/>
    <col min="3855" max="3855" width="8.140625" style="438" customWidth="1"/>
    <col min="3856" max="3856" width="11.85546875" style="438" customWidth="1"/>
    <col min="3857" max="3857" width="10.140625" style="438" customWidth="1"/>
    <col min="3858" max="3858" width="3.5703125" style="438" customWidth="1"/>
    <col min="3859" max="3859" width="3.28515625" style="438" customWidth="1"/>
    <col min="3860" max="3860" width="10.140625" style="438" customWidth="1"/>
    <col min="3861" max="4095" width="9.140625" style="438"/>
    <col min="4096" max="4096" width="1.85546875" style="438" customWidth="1"/>
    <col min="4097" max="4097" width="16.5703125" style="438" bestFit="1" customWidth="1"/>
    <col min="4098" max="4098" width="9.5703125" style="438" bestFit="1" customWidth="1"/>
    <col min="4099" max="4100" width="9.140625" style="438"/>
    <col min="4101" max="4101" width="10.28515625" style="438" customWidth="1"/>
    <col min="4102" max="4102" width="9.28515625" style="438" customWidth="1"/>
    <col min="4103" max="4103" width="8.7109375" style="438" customWidth="1"/>
    <col min="4104" max="4104" width="10.28515625" style="438" customWidth="1"/>
    <col min="4105" max="4105" width="9.85546875" style="438" bestFit="1" customWidth="1"/>
    <col min="4106" max="4106" width="8.7109375" style="438" customWidth="1"/>
    <col min="4107" max="4107" width="8.5703125" style="438" customWidth="1"/>
    <col min="4108" max="4108" width="9.28515625" style="438" customWidth="1"/>
    <col min="4109" max="4110" width="8.42578125" style="438" customWidth="1"/>
    <col min="4111" max="4111" width="8.140625" style="438" customWidth="1"/>
    <col min="4112" max="4112" width="11.85546875" style="438" customWidth="1"/>
    <col min="4113" max="4113" width="10.140625" style="438" customWidth="1"/>
    <col min="4114" max="4114" width="3.5703125" style="438" customWidth="1"/>
    <col min="4115" max="4115" width="3.28515625" style="438" customWidth="1"/>
    <col min="4116" max="4116" width="10.140625" style="438" customWidth="1"/>
    <col min="4117" max="4351" width="9.140625" style="438"/>
    <col min="4352" max="4352" width="1.85546875" style="438" customWidth="1"/>
    <col min="4353" max="4353" width="16.5703125" style="438" bestFit="1" customWidth="1"/>
    <col min="4354" max="4354" width="9.5703125" style="438" bestFit="1" customWidth="1"/>
    <col min="4355" max="4356" width="9.140625" style="438"/>
    <col min="4357" max="4357" width="10.28515625" style="438" customWidth="1"/>
    <col min="4358" max="4358" width="9.28515625" style="438" customWidth="1"/>
    <col min="4359" max="4359" width="8.7109375" style="438" customWidth="1"/>
    <col min="4360" max="4360" width="10.28515625" style="438" customWidth="1"/>
    <col min="4361" max="4361" width="9.85546875" style="438" bestFit="1" customWidth="1"/>
    <col min="4362" max="4362" width="8.7109375" style="438" customWidth="1"/>
    <col min="4363" max="4363" width="8.5703125" style="438" customWidth="1"/>
    <col min="4364" max="4364" width="9.28515625" style="438" customWidth="1"/>
    <col min="4365" max="4366" width="8.42578125" style="438" customWidth="1"/>
    <col min="4367" max="4367" width="8.140625" style="438" customWidth="1"/>
    <col min="4368" max="4368" width="11.85546875" style="438" customWidth="1"/>
    <col min="4369" max="4369" width="10.140625" style="438" customWidth="1"/>
    <col min="4370" max="4370" width="3.5703125" style="438" customWidth="1"/>
    <col min="4371" max="4371" width="3.28515625" style="438" customWidth="1"/>
    <col min="4372" max="4372" width="10.140625" style="438" customWidth="1"/>
    <col min="4373" max="4607" width="9.140625" style="438"/>
    <col min="4608" max="4608" width="1.85546875" style="438" customWidth="1"/>
    <col min="4609" max="4609" width="16.5703125" style="438" bestFit="1" customWidth="1"/>
    <col min="4610" max="4610" width="9.5703125" style="438" bestFit="1" customWidth="1"/>
    <col min="4611" max="4612" width="9.140625" style="438"/>
    <col min="4613" max="4613" width="10.28515625" style="438" customWidth="1"/>
    <col min="4614" max="4614" width="9.28515625" style="438" customWidth="1"/>
    <col min="4615" max="4615" width="8.7109375" style="438" customWidth="1"/>
    <col min="4616" max="4616" width="10.28515625" style="438" customWidth="1"/>
    <col min="4617" max="4617" width="9.85546875" style="438" bestFit="1" customWidth="1"/>
    <col min="4618" max="4618" width="8.7109375" style="438" customWidth="1"/>
    <col min="4619" max="4619" width="8.5703125" style="438" customWidth="1"/>
    <col min="4620" max="4620" width="9.28515625" style="438" customWidth="1"/>
    <col min="4621" max="4622" width="8.42578125" style="438" customWidth="1"/>
    <col min="4623" max="4623" width="8.140625" style="438" customWidth="1"/>
    <col min="4624" max="4624" width="11.85546875" style="438" customWidth="1"/>
    <col min="4625" max="4625" width="10.140625" style="438" customWidth="1"/>
    <col min="4626" max="4626" width="3.5703125" style="438" customWidth="1"/>
    <col min="4627" max="4627" width="3.28515625" style="438" customWidth="1"/>
    <col min="4628" max="4628" width="10.140625" style="438" customWidth="1"/>
    <col min="4629" max="4863" width="9.140625" style="438"/>
    <col min="4864" max="4864" width="1.85546875" style="438" customWidth="1"/>
    <col min="4865" max="4865" width="16.5703125" style="438" bestFit="1" customWidth="1"/>
    <col min="4866" max="4866" width="9.5703125" style="438" bestFit="1" customWidth="1"/>
    <col min="4867" max="4868" width="9.140625" style="438"/>
    <col min="4869" max="4869" width="10.28515625" style="438" customWidth="1"/>
    <col min="4870" max="4870" width="9.28515625" style="438" customWidth="1"/>
    <col min="4871" max="4871" width="8.7109375" style="438" customWidth="1"/>
    <col min="4872" max="4872" width="10.28515625" style="438" customWidth="1"/>
    <col min="4873" max="4873" width="9.85546875" style="438" bestFit="1" customWidth="1"/>
    <col min="4874" max="4874" width="8.7109375" style="438" customWidth="1"/>
    <col min="4875" max="4875" width="8.5703125" style="438" customWidth="1"/>
    <col min="4876" max="4876" width="9.28515625" style="438" customWidth="1"/>
    <col min="4877" max="4878" width="8.42578125" style="438" customWidth="1"/>
    <col min="4879" max="4879" width="8.140625" style="438" customWidth="1"/>
    <col min="4880" max="4880" width="11.85546875" style="438" customWidth="1"/>
    <col min="4881" max="4881" width="10.140625" style="438" customWidth="1"/>
    <col min="4882" max="4882" width="3.5703125" style="438" customWidth="1"/>
    <col min="4883" max="4883" width="3.28515625" style="438" customWidth="1"/>
    <col min="4884" max="4884" width="10.140625" style="438" customWidth="1"/>
    <col min="4885" max="5119" width="9.140625" style="438"/>
    <col min="5120" max="5120" width="1.85546875" style="438" customWidth="1"/>
    <col min="5121" max="5121" width="16.5703125" style="438" bestFit="1" customWidth="1"/>
    <col min="5122" max="5122" width="9.5703125" style="438" bestFit="1" customWidth="1"/>
    <col min="5123" max="5124" width="9.140625" style="438"/>
    <col min="5125" max="5125" width="10.28515625" style="438" customWidth="1"/>
    <col min="5126" max="5126" width="9.28515625" style="438" customWidth="1"/>
    <col min="5127" max="5127" width="8.7109375" style="438" customWidth="1"/>
    <col min="5128" max="5128" width="10.28515625" style="438" customWidth="1"/>
    <col min="5129" max="5129" width="9.85546875" style="438" bestFit="1" customWidth="1"/>
    <col min="5130" max="5130" width="8.7109375" style="438" customWidth="1"/>
    <col min="5131" max="5131" width="8.5703125" style="438" customWidth="1"/>
    <col min="5132" max="5132" width="9.28515625" style="438" customWidth="1"/>
    <col min="5133" max="5134" width="8.42578125" style="438" customWidth="1"/>
    <col min="5135" max="5135" width="8.140625" style="438" customWidth="1"/>
    <col min="5136" max="5136" width="11.85546875" style="438" customWidth="1"/>
    <col min="5137" max="5137" width="10.140625" style="438" customWidth="1"/>
    <col min="5138" max="5138" width="3.5703125" style="438" customWidth="1"/>
    <col min="5139" max="5139" width="3.28515625" style="438" customWidth="1"/>
    <col min="5140" max="5140" width="10.140625" style="438" customWidth="1"/>
    <col min="5141" max="5375" width="9.140625" style="438"/>
    <col min="5376" max="5376" width="1.85546875" style="438" customWidth="1"/>
    <col min="5377" max="5377" width="16.5703125" style="438" bestFit="1" customWidth="1"/>
    <col min="5378" max="5378" width="9.5703125" style="438" bestFit="1" customWidth="1"/>
    <col min="5379" max="5380" width="9.140625" style="438"/>
    <col min="5381" max="5381" width="10.28515625" style="438" customWidth="1"/>
    <col min="5382" max="5382" width="9.28515625" style="438" customWidth="1"/>
    <col min="5383" max="5383" width="8.7109375" style="438" customWidth="1"/>
    <col min="5384" max="5384" width="10.28515625" style="438" customWidth="1"/>
    <col min="5385" max="5385" width="9.85546875" style="438" bestFit="1" customWidth="1"/>
    <col min="5386" max="5386" width="8.7109375" style="438" customWidth="1"/>
    <col min="5387" max="5387" width="8.5703125" style="438" customWidth="1"/>
    <col min="5388" max="5388" width="9.28515625" style="438" customWidth="1"/>
    <col min="5389" max="5390" width="8.42578125" style="438" customWidth="1"/>
    <col min="5391" max="5391" width="8.140625" style="438" customWidth="1"/>
    <col min="5392" max="5392" width="11.85546875" style="438" customWidth="1"/>
    <col min="5393" max="5393" width="10.140625" style="438" customWidth="1"/>
    <col min="5394" max="5394" width="3.5703125" style="438" customWidth="1"/>
    <col min="5395" max="5395" width="3.28515625" style="438" customWidth="1"/>
    <col min="5396" max="5396" width="10.140625" style="438" customWidth="1"/>
    <col min="5397" max="5631" width="9.140625" style="438"/>
    <col min="5632" max="5632" width="1.85546875" style="438" customWidth="1"/>
    <col min="5633" max="5633" width="16.5703125" style="438" bestFit="1" customWidth="1"/>
    <col min="5634" max="5634" width="9.5703125" style="438" bestFit="1" customWidth="1"/>
    <col min="5635" max="5636" width="9.140625" style="438"/>
    <col min="5637" max="5637" width="10.28515625" style="438" customWidth="1"/>
    <col min="5638" max="5638" width="9.28515625" style="438" customWidth="1"/>
    <col min="5639" max="5639" width="8.7109375" style="438" customWidth="1"/>
    <col min="5640" max="5640" width="10.28515625" style="438" customWidth="1"/>
    <col min="5641" max="5641" width="9.85546875" style="438" bestFit="1" customWidth="1"/>
    <col min="5642" max="5642" width="8.7109375" style="438" customWidth="1"/>
    <col min="5643" max="5643" width="8.5703125" style="438" customWidth="1"/>
    <col min="5644" max="5644" width="9.28515625" style="438" customWidth="1"/>
    <col min="5645" max="5646" width="8.42578125" style="438" customWidth="1"/>
    <col min="5647" max="5647" width="8.140625" style="438" customWidth="1"/>
    <col min="5648" max="5648" width="11.85546875" style="438" customWidth="1"/>
    <col min="5649" max="5649" width="10.140625" style="438" customWidth="1"/>
    <col min="5650" max="5650" width="3.5703125" style="438" customWidth="1"/>
    <col min="5651" max="5651" width="3.28515625" style="438" customWidth="1"/>
    <col min="5652" max="5652" width="10.140625" style="438" customWidth="1"/>
    <col min="5653" max="5887" width="9.140625" style="438"/>
    <col min="5888" max="5888" width="1.85546875" style="438" customWidth="1"/>
    <col min="5889" max="5889" width="16.5703125" style="438" bestFit="1" customWidth="1"/>
    <col min="5890" max="5890" width="9.5703125" style="438" bestFit="1" customWidth="1"/>
    <col min="5891" max="5892" width="9.140625" style="438"/>
    <col min="5893" max="5893" width="10.28515625" style="438" customWidth="1"/>
    <col min="5894" max="5894" width="9.28515625" style="438" customWidth="1"/>
    <col min="5895" max="5895" width="8.7109375" style="438" customWidth="1"/>
    <col min="5896" max="5896" width="10.28515625" style="438" customWidth="1"/>
    <col min="5897" max="5897" width="9.85546875" style="438" bestFit="1" customWidth="1"/>
    <col min="5898" max="5898" width="8.7109375" style="438" customWidth="1"/>
    <col min="5899" max="5899" width="8.5703125" style="438" customWidth="1"/>
    <col min="5900" max="5900" width="9.28515625" style="438" customWidth="1"/>
    <col min="5901" max="5902" width="8.42578125" style="438" customWidth="1"/>
    <col min="5903" max="5903" width="8.140625" style="438" customWidth="1"/>
    <col min="5904" max="5904" width="11.85546875" style="438" customWidth="1"/>
    <col min="5905" max="5905" width="10.140625" style="438" customWidth="1"/>
    <col min="5906" max="5906" width="3.5703125" style="438" customWidth="1"/>
    <col min="5907" max="5907" width="3.28515625" style="438" customWidth="1"/>
    <col min="5908" max="5908" width="10.140625" style="438" customWidth="1"/>
    <col min="5909" max="6143" width="9.140625" style="438"/>
    <col min="6144" max="6144" width="1.85546875" style="438" customWidth="1"/>
    <col min="6145" max="6145" width="16.5703125" style="438" bestFit="1" customWidth="1"/>
    <col min="6146" max="6146" width="9.5703125" style="438" bestFit="1" customWidth="1"/>
    <col min="6147" max="6148" width="9.140625" style="438"/>
    <col min="6149" max="6149" width="10.28515625" style="438" customWidth="1"/>
    <col min="6150" max="6150" width="9.28515625" style="438" customWidth="1"/>
    <col min="6151" max="6151" width="8.7109375" style="438" customWidth="1"/>
    <col min="6152" max="6152" width="10.28515625" style="438" customWidth="1"/>
    <col min="6153" max="6153" width="9.85546875" style="438" bestFit="1" customWidth="1"/>
    <col min="6154" max="6154" width="8.7109375" style="438" customWidth="1"/>
    <col min="6155" max="6155" width="8.5703125" style="438" customWidth="1"/>
    <col min="6156" max="6156" width="9.28515625" style="438" customWidth="1"/>
    <col min="6157" max="6158" width="8.42578125" style="438" customWidth="1"/>
    <col min="6159" max="6159" width="8.140625" style="438" customWidth="1"/>
    <col min="6160" max="6160" width="11.85546875" style="438" customWidth="1"/>
    <col min="6161" max="6161" width="10.140625" style="438" customWidth="1"/>
    <col min="6162" max="6162" width="3.5703125" style="438" customWidth="1"/>
    <col min="6163" max="6163" width="3.28515625" style="438" customWidth="1"/>
    <col min="6164" max="6164" width="10.140625" style="438" customWidth="1"/>
    <col min="6165" max="6399" width="9.140625" style="438"/>
    <col min="6400" max="6400" width="1.85546875" style="438" customWidth="1"/>
    <col min="6401" max="6401" width="16.5703125" style="438" bestFit="1" customWidth="1"/>
    <col min="6402" max="6402" width="9.5703125" style="438" bestFit="1" customWidth="1"/>
    <col min="6403" max="6404" width="9.140625" style="438"/>
    <col min="6405" max="6405" width="10.28515625" style="438" customWidth="1"/>
    <col min="6406" max="6406" width="9.28515625" style="438" customWidth="1"/>
    <col min="6407" max="6407" width="8.7109375" style="438" customWidth="1"/>
    <col min="6408" max="6408" width="10.28515625" style="438" customWidth="1"/>
    <col min="6409" max="6409" width="9.85546875" style="438" bestFit="1" customWidth="1"/>
    <col min="6410" max="6410" width="8.7109375" style="438" customWidth="1"/>
    <col min="6411" max="6411" width="8.5703125" style="438" customWidth="1"/>
    <col min="6412" max="6412" width="9.28515625" style="438" customWidth="1"/>
    <col min="6413" max="6414" width="8.42578125" style="438" customWidth="1"/>
    <col min="6415" max="6415" width="8.140625" style="438" customWidth="1"/>
    <col min="6416" max="6416" width="11.85546875" style="438" customWidth="1"/>
    <col min="6417" max="6417" width="10.140625" style="438" customWidth="1"/>
    <col min="6418" max="6418" width="3.5703125" style="438" customWidth="1"/>
    <col min="6419" max="6419" width="3.28515625" style="438" customWidth="1"/>
    <col min="6420" max="6420" width="10.140625" style="438" customWidth="1"/>
    <col min="6421" max="6655" width="9.140625" style="438"/>
    <col min="6656" max="6656" width="1.85546875" style="438" customWidth="1"/>
    <col min="6657" max="6657" width="16.5703125" style="438" bestFit="1" customWidth="1"/>
    <col min="6658" max="6658" width="9.5703125" style="438" bestFit="1" customWidth="1"/>
    <col min="6659" max="6660" width="9.140625" style="438"/>
    <col min="6661" max="6661" width="10.28515625" style="438" customWidth="1"/>
    <col min="6662" max="6662" width="9.28515625" style="438" customWidth="1"/>
    <col min="6663" max="6663" width="8.7109375" style="438" customWidth="1"/>
    <col min="6664" max="6664" width="10.28515625" style="438" customWidth="1"/>
    <col min="6665" max="6665" width="9.85546875" style="438" bestFit="1" customWidth="1"/>
    <col min="6666" max="6666" width="8.7109375" style="438" customWidth="1"/>
    <col min="6667" max="6667" width="8.5703125" style="438" customWidth="1"/>
    <col min="6668" max="6668" width="9.28515625" style="438" customWidth="1"/>
    <col min="6669" max="6670" width="8.42578125" style="438" customWidth="1"/>
    <col min="6671" max="6671" width="8.140625" style="438" customWidth="1"/>
    <col min="6672" max="6672" width="11.85546875" style="438" customWidth="1"/>
    <col min="6673" max="6673" width="10.140625" style="438" customWidth="1"/>
    <col min="6674" max="6674" width="3.5703125" style="438" customWidth="1"/>
    <col min="6675" max="6675" width="3.28515625" style="438" customWidth="1"/>
    <col min="6676" max="6676" width="10.140625" style="438" customWidth="1"/>
    <col min="6677" max="6911" width="9.140625" style="438"/>
    <col min="6912" max="6912" width="1.85546875" style="438" customWidth="1"/>
    <col min="6913" max="6913" width="16.5703125" style="438" bestFit="1" customWidth="1"/>
    <col min="6914" max="6914" width="9.5703125" style="438" bestFit="1" customWidth="1"/>
    <col min="6915" max="6916" width="9.140625" style="438"/>
    <col min="6917" max="6917" width="10.28515625" style="438" customWidth="1"/>
    <col min="6918" max="6918" width="9.28515625" style="438" customWidth="1"/>
    <col min="6919" max="6919" width="8.7109375" style="438" customWidth="1"/>
    <col min="6920" max="6920" width="10.28515625" style="438" customWidth="1"/>
    <col min="6921" max="6921" width="9.85546875" style="438" bestFit="1" customWidth="1"/>
    <col min="6922" max="6922" width="8.7109375" style="438" customWidth="1"/>
    <col min="6923" max="6923" width="8.5703125" style="438" customWidth="1"/>
    <col min="6924" max="6924" width="9.28515625" style="438" customWidth="1"/>
    <col min="6925" max="6926" width="8.42578125" style="438" customWidth="1"/>
    <col min="6927" max="6927" width="8.140625" style="438" customWidth="1"/>
    <col min="6928" max="6928" width="11.85546875" style="438" customWidth="1"/>
    <col min="6929" max="6929" width="10.140625" style="438" customWidth="1"/>
    <col min="6930" max="6930" width="3.5703125" style="438" customWidth="1"/>
    <col min="6931" max="6931" width="3.28515625" style="438" customWidth="1"/>
    <col min="6932" max="6932" width="10.140625" style="438" customWidth="1"/>
    <col min="6933" max="7167" width="9.140625" style="438"/>
    <col min="7168" max="7168" width="1.85546875" style="438" customWidth="1"/>
    <col min="7169" max="7169" width="16.5703125" style="438" bestFit="1" customWidth="1"/>
    <col min="7170" max="7170" width="9.5703125" style="438" bestFit="1" customWidth="1"/>
    <col min="7171" max="7172" width="9.140625" style="438"/>
    <col min="7173" max="7173" width="10.28515625" style="438" customWidth="1"/>
    <col min="7174" max="7174" width="9.28515625" style="438" customWidth="1"/>
    <col min="7175" max="7175" width="8.7109375" style="438" customWidth="1"/>
    <col min="7176" max="7176" width="10.28515625" style="438" customWidth="1"/>
    <col min="7177" max="7177" width="9.85546875" style="438" bestFit="1" customWidth="1"/>
    <col min="7178" max="7178" width="8.7109375" style="438" customWidth="1"/>
    <col min="7179" max="7179" width="8.5703125" style="438" customWidth="1"/>
    <col min="7180" max="7180" width="9.28515625" style="438" customWidth="1"/>
    <col min="7181" max="7182" width="8.42578125" style="438" customWidth="1"/>
    <col min="7183" max="7183" width="8.140625" style="438" customWidth="1"/>
    <col min="7184" max="7184" width="11.85546875" style="438" customWidth="1"/>
    <col min="7185" max="7185" width="10.140625" style="438" customWidth="1"/>
    <col min="7186" max="7186" width="3.5703125" style="438" customWidth="1"/>
    <col min="7187" max="7187" width="3.28515625" style="438" customWidth="1"/>
    <col min="7188" max="7188" width="10.140625" style="438" customWidth="1"/>
    <col min="7189" max="7423" width="9.140625" style="438"/>
    <col min="7424" max="7424" width="1.85546875" style="438" customWidth="1"/>
    <col min="7425" max="7425" width="16.5703125" style="438" bestFit="1" customWidth="1"/>
    <col min="7426" max="7426" width="9.5703125" style="438" bestFit="1" customWidth="1"/>
    <col min="7427" max="7428" width="9.140625" style="438"/>
    <col min="7429" max="7429" width="10.28515625" style="438" customWidth="1"/>
    <col min="7430" max="7430" width="9.28515625" style="438" customWidth="1"/>
    <col min="7431" max="7431" width="8.7109375" style="438" customWidth="1"/>
    <col min="7432" max="7432" width="10.28515625" style="438" customWidth="1"/>
    <col min="7433" max="7433" width="9.85546875" style="438" bestFit="1" customWidth="1"/>
    <col min="7434" max="7434" width="8.7109375" style="438" customWidth="1"/>
    <col min="7435" max="7435" width="8.5703125" style="438" customWidth="1"/>
    <col min="7436" max="7436" width="9.28515625" style="438" customWidth="1"/>
    <col min="7437" max="7438" width="8.42578125" style="438" customWidth="1"/>
    <col min="7439" max="7439" width="8.140625" style="438" customWidth="1"/>
    <col min="7440" max="7440" width="11.85546875" style="438" customWidth="1"/>
    <col min="7441" max="7441" width="10.140625" style="438" customWidth="1"/>
    <col min="7442" max="7442" width="3.5703125" style="438" customWidth="1"/>
    <col min="7443" max="7443" width="3.28515625" style="438" customWidth="1"/>
    <col min="7444" max="7444" width="10.140625" style="438" customWidth="1"/>
    <col min="7445" max="7679" width="9.140625" style="438"/>
    <col min="7680" max="7680" width="1.85546875" style="438" customWidth="1"/>
    <col min="7681" max="7681" width="16.5703125" style="438" bestFit="1" customWidth="1"/>
    <col min="7682" max="7682" width="9.5703125" style="438" bestFit="1" customWidth="1"/>
    <col min="7683" max="7684" width="9.140625" style="438"/>
    <col min="7685" max="7685" width="10.28515625" style="438" customWidth="1"/>
    <col min="7686" max="7686" width="9.28515625" style="438" customWidth="1"/>
    <col min="7687" max="7687" width="8.7109375" style="438" customWidth="1"/>
    <col min="7688" max="7688" width="10.28515625" style="438" customWidth="1"/>
    <col min="7689" max="7689" width="9.85546875" style="438" bestFit="1" customWidth="1"/>
    <col min="7690" max="7690" width="8.7109375" style="438" customWidth="1"/>
    <col min="7691" max="7691" width="8.5703125" style="438" customWidth="1"/>
    <col min="7692" max="7692" width="9.28515625" style="438" customWidth="1"/>
    <col min="7693" max="7694" width="8.42578125" style="438" customWidth="1"/>
    <col min="7695" max="7695" width="8.140625" style="438" customWidth="1"/>
    <col min="7696" max="7696" width="11.85546875" style="438" customWidth="1"/>
    <col min="7697" max="7697" width="10.140625" style="438" customWidth="1"/>
    <col min="7698" max="7698" width="3.5703125" style="438" customWidth="1"/>
    <col min="7699" max="7699" width="3.28515625" style="438" customWidth="1"/>
    <col min="7700" max="7700" width="10.140625" style="438" customWidth="1"/>
    <col min="7701" max="7935" width="9.140625" style="438"/>
    <col min="7936" max="7936" width="1.85546875" style="438" customWidth="1"/>
    <col min="7937" max="7937" width="16.5703125" style="438" bestFit="1" customWidth="1"/>
    <col min="7938" max="7938" width="9.5703125" style="438" bestFit="1" customWidth="1"/>
    <col min="7939" max="7940" width="9.140625" style="438"/>
    <col min="7941" max="7941" width="10.28515625" style="438" customWidth="1"/>
    <col min="7942" max="7942" width="9.28515625" style="438" customWidth="1"/>
    <col min="7943" max="7943" width="8.7109375" style="438" customWidth="1"/>
    <col min="7944" max="7944" width="10.28515625" style="438" customWidth="1"/>
    <col min="7945" max="7945" width="9.85546875" style="438" bestFit="1" customWidth="1"/>
    <col min="7946" max="7946" width="8.7109375" style="438" customWidth="1"/>
    <col min="7947" max="7947" width="8.5703125" style="438" customWidth="1"/>
    <col min="7948" max="7948" width="9.28515625" style="438" customWidth="1"/>
    <col min="7949" max="7950" width="8.42578125" style="438" customWidth="1"/>
    <col min="7951" max="7951" width="8.140625" style="438" customWidth="1"/>
    <col min="7952" max="7952" width="11.85546875" style="438" customWidth="1"/>
    <col min="7953" max="7953" width="10.140625" style="438" customWidth="1"/>
    <col min="7954" max="7954" width="3.5703125" style="438" customWidth="1"/>
    <col min="7955" max="7955" width="3.28515625" style="438" customWidth="1"/>
    <col min="7956" max="7956" width="10.140625" style="438" customWidth="1"/>
    <col min="7957" max="8191" width="9.140625" style="438"/>
    <col min="8192" max="8192" width="1.85546875" style="438" customWidth="1"/>
    <col min="8193" max="8193" width="16.5703125" style="438" bestFit="1" customWidth="1"/>
    <col min="8194" max="8194" width="9.5703125" style="438" bestFit="1" customWidth="1"/>
    <col min="8195" max="8196" width="9.140625" style="438"/>
    <col min="8197" max="8197" width="10.28515625" style="438" customWidth="1"/>
    <col min="8198" max="8198" width="9.28515625" style="438" customWidth="1"/>
    <col min="8199" max="8199" width="8.7109375" style="438" customWidth="1"/>
    <col min="8200" max="8200" width="10.28515625" style="438" customWidth="1"/>
    <col min="8201" max="8201" width="9.85546875" style="438" bestFit="1" customWidth="1"/>
    <col min="8202" max="8202" width="8.7109375" style="438" customWidth="1"/>
    <col min="8203" max="8203" width="8.5703125" style="438" customWidth="1"/>
    <col min="8204" max="8204" width="9.28515625" style="438" customWidth="1"/>
    <col min="8205" max="8206" width="8.42578125" style="438" customWidth="1"/>
    <col min="8207" max="8207" width="8.140625" style="438" customWidth="1"/>
    <col min="8208" max="8208" width="11.85546875" style="438" customWidth="1"/>
    <col min="8209" max="8209" width="10.140625" style="438" customWidth="1"/>
    <col min="8210" max="8210" width="3.5703125" style="438" customWidth="1"/>
    <col min="8211" max="8211" width="3.28515625" style="438" customWidth="1"/>
    <col min="8212" max="8212" width="10.140625" style="438" customWidth="1"/>
    <col min="8213" max="8447" width="9.140625" style="438"/>
    <col min="8448" max="8448" width="1.85546875" style="438" customWidth="1"/>
    <col min="8449" max="8449" width="16.5703125" style="438" bestFit="1" customWidth="1"/>
    <col min="8450" max="8450" width="9.5703125" style="438" bestFit="1" customWidth="1"/>
    <col min="8451" max="8452" width="9.140625" style="438"/>
    <col min="8453" max="8453" width="10.28515625" style="438" customWidth="1"/>
    <col min="8454" max="8454" width="9.28515625" style="438" customWidth="1"/>
    <col min="8455" max="8455" width="8.7109375" style="438" customWidth="1"/>
    <col min="8456" max="8456" width="10.28515625" style="438" customWidth="1"/>
    <col min="8457" max="8457" width="9.85546875" style="438" bestFit="1" customWidth="1"/>
    <col min="8458" max="8458" width="8.7109375" style="438" customWidth="1"/>
    <col min="8459" max="8459" width="8.5703125" style="438" customWidth="1"/>
    <col min="8460" max="8460" width="9.28515625" style="438" customWidth="1"/>
    <col min="8461" max="8462" width="8.42578125" style="438" customWidth="1"/>
    <col min="8463" max="8463" width="8.140625" style="438" customWidth="1"/>
    <col min="8464" max="8464" width="11.85546875" style="438" customWidth="1"/>
    <col min="8465" max="8465" width="10.140625" style="438" customWidth="1"/>
    <col min="8466" max="8466" width="3.5703125" style="438" customWidth="1"/>
    <col min="8467" max="8467" width="3.28515625" style="438" customWidth="1"/>
    <col min="8468" max="8468" width="10.140625" style="438" customWidth="1"/>
    <col min="8469" max="8703" width="9.140625" style="438"/>
    <col min="8704" max="8704" width="1.85546875" style="438" customWidth="1"/>
    <col min="8705" max="8705" width="16.5703125" style="438" bestFit="1" customWidth="1"/>
    <col min="8706" max="8706" width="9.5703125" style="438" bestFit="1" customWidth="1"/>
    <col min="8707" max="8708" width="9.140625" style="438"/>
    <col min="8709" max="8709" width="10.28515625" style="438" customWidth="1"/>
    <col min="8710" max="8710" width="9.28515625" style="438" customWidth="1"/>
    <col min="8711" max="8711" width="8.7109375" style="438" customWidth="1"/>
    <col min="8712" max="8712" width="10.28515625" style="438" customWidth="1"/>
    <col min="8713" max="8713" width="9.85546875" style="438" bestFit="1" customWidth="1"/>
    <col min="8714" max="8714" width="8.7109375" style="438" customWidth="1"/>
    <col min="8715" max="8715" width="8.5703125" style="438" customWidth="1"/>
    <col min="8716" max="8716" width="9.28515625" style="438" customWidth="1"/>
    <col min="8717" max="8718" width="8.42578125" style="438" customWidth="1"/>
    <col min="8719" max="8719" width="8.140625" style="438" customWidth="1"/>
    <col min="8720" max="8720" width="11.85546875" style="438" customWidth="1"/>
    <col min="8721" max="8721" width="10.140625" style="438" customWidth="1"/>
    <col min="8722" max="8722" width="3.5703125" style="438" customWidth="1"/>
    <col min="8723" max="8723" width="3.28515625" style="438" customWidth="1"/>
    <col min="8724" max="8724" width="10.140625" style="438" customWidth="1"/>
    <col min="8725" max="8959" width="9.140625" style="438"/>
    <col min="8960" max="8960" width="1.85546875" style="438" customWidth="1"/>
    <col min="8961" max="8961" width="16.5703125" style="438" bestFit="1" customWidth="1"/>
    <col min="8962" max="8962" width="9.5703125" style="438" bestFit="1" customWidth="1"/>
    <col min="8963" max="8964" width="9.140625" style="438"/>
    <col min="8965" max="8965" width="10.28515625" style="438" customWidth="1"/>
    <col min="8966" max="8966" width="9.28515625" style="438" customWidth="1"/>
    <col min="8967" max="8967" width="8.7109375" style="438" customWidth="1"/>
    <col min="8968" max="8968" width="10.28515625" style="438" customWidth="1"/>
    <col min="8969" max="8969" width="9.85546875" style="438" bestFit="1" customWidth="1"/>
    <col min="8970" max="8970" width="8.7109375" style="438" customWidth="1"/>
    <col min="8971" max="8971" width="8.5703125" style="438" customWidth="1"/>
    <col min="8972" max="8972" width="9.28515625" style="438" customWidth="1"/>
    <col min="8973" max="8974" width="8.42578125" style="438" customWidth="1"/>
    <col min="8975" max="8975" width="8.140625" style="438" customWidth="1"/>
    <col min="8976" max="8976" width="11.85546875" style="438" customWidth="1"/>
    <col min="8977" max="8977" width="10.140625" style="438" customWidth="1"/>
    <col min="8978" max="8978" width="3.5703125" style="438" customWidth="1"/>
    <col min="8979" max="8979" width="3.28515625" style="438" customWidth="1"/>
    <col min="8980" max="8980" width="10.140625" style="438" customWidth="1"/>
    <col min="8981" max="9215" width="9.140625" style="438"/>
    <col min="9216" max="9216" width="1.85546875" style="438" customWidth="1"/>
    <col min="9217" max="9217" width="16.5703125" style="438" bestFit="1" customWidth="1"/>
    <col min="9218" max="9218" width="9.5703125" style="438" bestFit="1" customWidth="1"/>
    <col min="9219" max="9220" width="9.140625" style="438"/>
    <col min="9221" max="9221" width="10.28515625" style="438" customWidth="1"/>
    <col min="9222" max="9222" width="9.28515625" style="438" customWidth="1"/>
    <col min="9223" max="9223" width="8.7109375" style="438" customWidth="1"/>
    <col min="9224" max="9224" width="10.28515625" style="438" customWidth="1"/>
    <col min="9225" max="9225" width="9.85546875" style="438" bestFit="1" customWidth="1"/>
    <col min="9226" max="9226" width="8.7109375" style="438" customWidth="1"/>
    <col min="9227" max="9227" width="8.5703125" style="438" customWidth="1"/>
    <col min="9228" max="9228" width="9.28515625" style="438" customWidth="1"/>
    <col min="9229" max="9230" width="8.42578125" style="438" customWidth="1"/>
    <col min="9231" max="9231" width="8.140625" style="438" customWidth="1"/>
    <col min="9232" max="9232" width="11.85546875" style="438" customWidth="1"/>
    <col min="9233" max="9233" width="10.140625" style="438" customWidth="1"/>
    <col min="9234" max="9234" width="3.5703125" style="438" customWidth="1"/>
    <col min="9235" max="9235" width="3.28515625" style="438" customWidth="1"/>
    <col min="9236" max="9236" width="10.140625" style="438" customWidth="1"/>
    <col min="9237" max="9471" width="9.140625" style="438"/>
    <col min="9472" max="9472" width="1.85546875" style="438" customWidth="1"/>
    <col min="9473" max="9473" width="16.5703125" style="438" bestFit="1" customWidth="1"/>
    <col min="9474" max="9474" width="9.5703125" style="438" bestFit="1" customWidth="1"/>
    <col min="9475" max="9476" width="9.140625" style="438"/>
    <col min="9477" max="9477" width="10.28515625" style="438" customWidth="1"/>
    <col min="9478" max="9478" width="9.28515625" style="438" customWidth="1"/>
    <col min="9479" max="9479" width="8.7109375" style="438" customWidth="1"/>
    <col min="9480" max="9480" width="10.28515625" style="438" customWidth="1"/>
    <col min="9481" max="9481" width="9.85546875" style="438" bestFit="1" customWidth="1"/>
    <col min="9482" max="9482" width="8.7109375" style="438" customWidth="1"/>
    <col min="9483" max="9483" width="8.5703125" style="438" customWidth="1"/>
    <col min="9484" max="9484" width="9.28515625" style="438" customWidth="1"/>
    <col min="9485" max="9486" width="8.42578125" style="438" customWidth="1"/>
    <col min="9487" max="9487" width="8.140625" style="438" customWidth="1"/>
    <col min="9488" max="9488" width="11.85546875" style="438" customWidth="1"/>
    <col min="9489" max="9489" width="10.140625" style="438" customWidth="1"/>
    <col min="9490" max="9490" width="3.5703125" style="438" customWidth="1"/>
    <col min="9491" max="9491" width="3.28515625" style="438" customWidth="1"/>
    <col min="9492" max="9492" width="10.140625" style="438" customWidth="1"/>
    <col min="9493" max="9727" width="9.140625" style="438"/>
    <col min="9728" max="9728" width="1.85546875" style="438" customWidth="1"/>
    <col min="9729" max="9729" width="16.5703125" style="438" bestFit="1" customWidth="1"/>
    <col min="9730" max="9730" width="9.5703125" style="438" bestFit="1" customWidth="1"/>
    <col min="9731" max="9732" width="9.140625" style="438"/>
    <col min="9733" max="9733" width="10.28515625" style="438" customWidth="1"/>
    <col min="9734" max="9734" width="9.28515625" style="438" customWidth="1"/>
    <col min="9735" max="9735" width="8.7109375" style="438" customWidth="1"/>
    <col min="9736" max="9736" width="10.28515625" style="438" customWidth="1"/>
    <col min="9737" max="9737" width="9.85546875" style="438" bestFit="1" customWidth="1"/>
    <col min="9738" max="9738" width="8.7109375" style="438" customWidth="1"/>
    <col min="9739" max="9739" width="8.5703125" style="438" customWidth="1"/>
    <col min="9740" max="9740" width="9.28515625" style="438" customWidth="1"/>
    <col min="9741" max="9742" width="8.42578125" style="438" customWidth="1"/>
    <col min="9743" max="9743" width="8.140625" style="438" customWidth="1"/>
    <col min="9744" max="9744" width="11.85546875" style="438" customWidth="1"/>
    <col min="9745" max="9745" width="10.140625" style="438" customWidth="1"/>
    <col min="9746" max="9746" width="3.5703125" style="438" customWidth="1"/>
    <col min="9747" max="9747" width="3.28515625" style="438" customWidth="1"/>
    <col min="9748" max="9748" width="10.140625" style="438" customWidth="1"/>
    <col min="9749" max="9983" width="9.140625" style="438"/>
    <col min="9984" max="9984" width="1.85546875" style="438" customWidth="1"/>
    <col min="9985" max="9985" width="16.5703125" style="438" bestFit="1" customWidth="1"/>
    <col min="9986" max="9986" width="9.5703125" style="438" bestFit="1" customWidth="1"/>
    <col min="9987" max="9988" width="9.140625" style="438"/>
    <col min="9989" max="9989" width="10.28515625" style="438" customWidth="1"/>
    <col min="9990" max="9990" width="9.28515625" style="438" customWidth="1"/>
    <col min="9991" max="9991" width="8.7109375" style="438" customWidth="1"/>
    <col min="9992" max="9992" width="10.28515625" style="438" customWidth="1"/>
    <col min="9993" max="9993" width="9.85546875" style="438" bestFit="1" customWidth="1"/>
    <col min="9994" max="9994" width="8.7109375" style="438" customWidth="1"/>
    <col min="9995" max="9995" width="8.5703125" style="438" customWidth="1"/>
    <col min="9996" max="9996" width="9.28515625" style="438" customWidth="1"/>
    <col min="9997" max="9998" width="8.42578125" style="438" customWidth="1"/>
    <col min="9999" max="9999" width="8.140625" style="438" customWidth="1"/>
    <col min="10000" max="10000" width="11.85546875" style="438" customWidth="1"/>
    <col min="10001" max="10001" width="10.140625" style="438" customWidth="1"/>
    <col min="10002" max="10002" width="3.5703125" style="438" customWidth="1"/>
    <col min="10003" max="10003" width="3.28515625" style="438" customWidth="1"/>
    <col min="10004" max="10004" width="10.140625" style="438" customWidth="1"/>
    <col min="10005" max="10239" width="9.140625" style="438"/>
    <col min="10240" max="10240" width="1.85546875" style="438" customWidth="1"/>
    <col min="10241" max="10241" width="16.5703125" style="438" bestFit="1" customWidth="1"/>
    <col min="10242" max="10242" width="9.5703125" style="438" bestFit="1" customWidth="1"/>
    <col min="10243" max="10244" width="9.140625" style="438"/>
    <col min="10245" max="10245" width="10.28515625" style="438" customWidth="1"/>
    <col min="10246" max="10246" width="9.28515625" style="438" customWidth="1"/>
    <col min="10247" max="10247" width="8.7109375" style="438" customWidth="1"/>
    <col min="10248" max="10248" width="10.28515625" style="438" customWidth="1"/>
    <col min="10249" max="10249" width="9.85546875" style="438" bestFit="1" customWidth="1"/>
    <col min="10250" max="10250" width="8.7109375" style="438" customWidth="1"/>
    <col min="10251" max="10251" width="8.5703125" style="438" customWidth="1"/>
    <col min="10252" max="10252" width="9.28515625" style="438" customWidth="1"/>
    <col min="10253" max="10254" width="8.42578125" style="438" customWidth="1"/>
    <col min="10255" max="10255" width="8.140625" style="438" customWidth="1"/>
    <col min="10256" max="10256" width="11.85546875" style="438" customWidth="1"/>
    <col min="10257" max="10257" width="10.140625" style="438" customWidth="1"/>
    <col min="10258" max="10258" width="3.5703125" style="438" customWidth="1"/>
    <col min="10259" max="10259" width="3.28515625" style="438" customWidth="1"/>
    <col min="10260" max="10260" width="10.140625" style="438" customWidth="1"/>
    <col min="10261" max="10495" width="9.140625" style="438"/>
    <col min="10496" max="10496" width="1.85546875" style="438" customWidth="1"/>
    <col min="10497" max="10497" width="16.5703125" style="438" bestFit="1" customWidth="1"/>
    <col min="10498" max="10498" width="9.5703125" style="438" bestFit="1" customWidth="1"/>
    <col min="10499" max="10500" width="9.140625" style="438"/>
    <col min="10501" max="10501" width="10.28515625" style="438" customWidth="1"/>
    <col min="10502" max="10502" width="9.28515625" style="438" customWidth="1"/>
    <col min="10503" max="10503" width="8.7109375" style="438" customWidth="1"/>
    <col min="10504" max="10504" width="10.28515625" style="438" customWidth="1"/>
    <col min="10505" max="10505" width="9.85546875" style="438" bestFit="1" customWidth="1"/>
    <col min="10506" max="10506" width="8.7109375" style="438" customWidth="1"/>
    <col min="10507" max="10507" width="8.5703125" style="438" customWidth="1"/>
    <col min="10508" max="10508" width="9.28515625" style="438" customWidth="1"/>
    <col min="10509" max="10510" width="8.42578125" style="438" customWidth="1"/>
    <col min="10511" max="10511" width="8.140625" style="438" customWidth="1"/>
    <col min="10512" max="10512" width="11.85546875" style="438" customWidth="1"/>
    <col min="10513" max="10513" width="10.140625" style="438" customWidth="1"/>
    <col min="10514" max="10514" width="3.5703125" style="438" customWidth="1"/>
    <col min="10515" max="10515" width="3.28515625" style="438" customWidth="1"/>
    <col min="10516" max="10516" width="10.140625" style="438" customWidth="1"/>
    <col min="10517" max="10751" width="9.140625" style="438"/>
    <col min="10752" max="10752" width="1.85546875" style="438" customWidth="1"/>
    <col min="10753" max="10753" width="16.5703125" style="438" bestFit="1" customWidth="1"/>
    <col min="10754" max="10754" width="9.5703125" style="438" bestFit="1" customWidth="1"/>
    <col min="10755" max="10756" width="9.140625" style="438"/>
    <col min="10757" max="10757" width="10.28515625" style="438" customWidth="1"/>
    <col min="10758" max="10758" width="9.28515625" style="438" customWidth="1"/>
    <col min="10759" max="10759" width="8.7109375" style="438" customWidth="1"/>
    <col min="10760" max="10760" width="10.28515625" style="438" customWidth="1"/>
    <col min="10761" max="10761" width="9.85546875" style="438" bestFit="1" customWidth="1"/>
    <col min="10762" max="10762" width="8.7109375" style="438" customWidth="1"/>
    <col min="10763" max="10763" width="8.5703125" style="438" customWidth="1"/>
    <col min="10764" max="10764" width="9.28515625" style="438" customWidth="1"/>
    <col min="10765" max="10766" width="8.42578125" style="438" customWidth="1"/>
    <col min="10767" max="10767" width="8.140625" style="438" customWidth="1"/>
    <col min="10768" max="10768" width="11.85546875" style="438" customWidth="1"/>
    <col min="10769" max="10769" width="10.140625" style="438" customWidth="1"/>
    <col min="10770" max="10770" width="3.5703125" style="438" customWidth="1"/>
    <col min="10771" max="10771" width="3.28515625" style="438" customWidth="1"/>
    <col min="10772" max="10772" width="10.140625" style="438" customWidth="1"/>
    <col min="10773" max="11007" width="9.140625" style="438"/>
    <col min="11008" max="11008" width="1.85546875" style="438" customWidth="1"/>
    <col min="11009" max="11009" width="16.5703125" style="438" bestFit="1" customWidth="1"/>
    <col min="11010" max="11010" width="9.5703125" style="438" bestFit="1" customWidth="1"/>
    <col min="11011" max="11012" width="9.140625" style="438"/>
    <col min="11013" max="11013" width="10.28515625" style="438" customWidth="1"/>
    <col min="11014" max="11014" width="9.28515625" style="438" customWidth="1"/>
    <col min="11015" max="11015" width="8.7109375" style="438" customWidth="1"/>
    <col min="11016" max="11016" width="10.28515625" style="438" customWidth="1"/>
    <col min="11017" max="11017" width="9.85546875" style="438" bestFit="1" customWidth="1"/>
    <col min="11018" max="11018" width="8.7109375" style="438" customWidth="1"/>
    <col min="11019" max="11019" width="8.5703125" style="438" customWidth="1"/>
    <col min="11020" max="11020" width="9.28515625" style="438" customWidth="1"/>
    <col min="11021" max="11022" width="8.42578125" style="438" customWidth="1"/>
    <col min="11023" max="11023" width="8.140625" style="438" customWidth="1"/>
    <col min="11024" max="11024" width="11.85546875" style="438" customWidth="1"/>
    <col min="11025" max="11025" width="10.140625" style="438" customWidth="1"/>
    <col min="11026" max="11026" width="3.5703125" style="438" customWidth="1"/>
    <col min="11027" max="11027" width="3.28515625" style="438" customWidth="1"/>
    <col min="11028" max="11028" width="10.140625" style="438" customWidth="1"/>
    <col min="11029" max="11263" width="9.140625" style="438"/>
    <col min="11264" max="11264" width="1.85546875" style="438" customWidth="1"/>
    <col min="11265" max="11265" width="16.5703125" style="438" bestFit="1" customWidth="1"/>
    <col min="11266" max="11266" width="9.5703125" style="438" bestFit="1" customWidth="1"/>
    <col min="11267" max="11268" width="9.140625" style="438"/>
    <col min="11269" max="11269" width="10.28515625" style="438" customWidth="1"/>
    <col min="11270" max="11270" width="9.28515625" style="438" customWidth="1"/>
    <col min="11271" max="11271" width="8.7109375" style="438" customWidth="1"/>
    <col min="11272" max="11272" width="10.28515625" style="438" customWidth="1"/>
    <col min="11273" max="11273" width="9.85546875" style="438" bestFit="1" customWidth="1"/>
    <col min="11274" max="11274" width="8.7109375" style="438" customWidth="1"/>
    <col min="11275" max="11275" width="8.5703125" style="438" customWidth="1"/>
    <col min="11276" max="11276" width="9.28515625" style="438" customWidth="1"/>
    <col min="11277" max="11278" width="8.42578125" style="438" customWidth="1"/>
    <col min="11279" max="11279" width="8.140625" style="438" customWidth="1"/>
    <col min="11280" max="11280" width="11.85546875" style="438" customWidth="1"/>
    <col min="11281" max="11281" width="10.140625" style="438" customWidth="1"/>
    <col min="11282" max="11282" width="3.5703125" style="438" customWidth="1"/>
    <col min="11283" max="11283" width="3.28515625" style="438" customWidth="1"/>
    <col min="11284" max="11284" width="10.140625" style="438" customWidth="1"/>
    <col min="11285" max="11519" width="9.140625" style="438"/>
    <col min="11520" max="11520" width="1.85546875" style="438" customWidth="1"/>
    <col min="11521" max="11521" width="16.5703125" style="438" bestFit="1" customWidth="1"/>
    <col min="11522" max="11522" width="9.5703125" style="438" bestFit="1" customWidth="1"/>
    <col min="11523" max="11524" width="9.140625" style="438"/>
    <col min="11525" max="11525" width="10.28515625" style="438" customWidth="1"/>
    <col min="11526" max="11526" width="9.28515625" style="438" customWidth="1"/>
    <col min="11527" max="11527" width="8.7109375" style="438" customWidth="1"/>
    <col min="11528" max="11528" width="10.28515625" style="438" customWidth="1"/>
    <col min="11529" max="11529" width="9.85546875" style="438" bestFit="1" customWidth="1"/>
    <col min="11530" max="11530" width="8.7109375" style="438" customWidth="1"/>
    <col min="11531" max="11531" width="8.5703125" style="438" customWidth="1"/>
    <col min="11532" max="11532" width="9.28515625" style="438" customWidth="1"/>
    <col min="11533" max="11534" width="8.42578125" style="438" customWidth="1"/>
    <col min="11535" max="11535" width="8.140625" style="438" customWidth="1"/>
    <col min="11536" max="11536" width="11.85546875" style="438" customWidth="1"/>
    <col min="11537" max="11537" width="10.140625" style="438" customWidth="1"/>
    <col min="11538" max="11538" width="3.5703125" style="438" customWidth="1"/>
    <col min="11539" max="11539" width="3.28515625" style="438" customWidth="1"/>
    <col min="11540" max="11540" width="10.140625" style="438" customWidth="1"/>
    <col min="11541" max="11775" width="9.140625" style="438"/>
    <col min="11776" max="11776" width="1.85546875" style="438" customWidth="1"/>
    <col min="11777" max="11777" width="16.5703125" style="438" bestFit="1" customWidth="1"/>
    <col min="11778" max="11778" width="9.5703125" style="438" bestFit="1" customWidth="1"/>
    <col min="11779" max="11780" width="9.140625" style="438"/>
    <col min="11781" max="11781" width="10.28515625" style="438" customWidth="1"/>
    <col min="11782" max="11782" width="9.28515625" style="438" customWidth="1"/>
    <col min="11783" max="11783" width="8.7109375" style="438" customWidth="1"/>
    <col min="11784" max="11784" width="10.28515625" style="438" customWidth="1"/>
    <col min="11785" max="11785" width="9.85546875" style="438" bestFit="1" customWidth="1"/>
    <col min="11786" max="11786" width="8.7109375" style="438" customWidth="1"/>
    <col min="11787" max="11787" width="8.5703125" style="438" customWidth="1"/>
    <col min="11788" max="11788" width="9.28515625" style="438" customWidth="1"/>
    <col min="11789" max="11790" width="8.42578125" style="438" customWidth="1"/>
    <col min="11791" max="11791" width="8.140625" style="438" customWidth="1"/>
    <col min="11792" max="11792" width="11.85546875" style="438" customWidth="1"/>
    <col min="11793" max="11793" width="10.140625" style="438" customWidth="1"/>
    <col min="11794" max="11794" width="3.5703125" style="438" customWidth="1"/>
    <col min="11795" max="11795" width="3.28515625" style="438" customWidth="1"/>
    <col min="11796" max="11796" width="10.140625" style="438" customWidth="1"/>
    <col min="11797" max="12031" width="9.140625" style="438"/>
    <col min="12032" max="12032" width="1.85546875" style="438" customWidth="1"/>
    <col min="12033" max="12033" width="16.5703125" style="438" bestFit="1" customWidth="1"/>
    <col min="12034" max="12034" width="9.5703125" style="438" bestFit="1" customWidth="1"/>
    <col min="12035" max="12036" width="9.140625" style="438"/>
    <col min="12037" max="12037" width="10.28515625" style="438" customWidth="1"/>
    <col min="12038" max="12038" width="9.28515625" style="438" customWidth="1"/>
    <col min="12039" max="12039" width="8.7109375" style="438" customWidth="1"/>
    <col min="12040" max="12040" width="10.28515625" style="438" customWidth="1"/>
    <col min="12041" max="12041" width="9.85546875" style="438" bestFit="1" customWidth="1"/>
    <col min="12042" max="12042" width="8.7109375" style="438" customWidth="1"/>
    <col min="12043" max="12043" width="8.5703125" style="438" customWidth="1"/>
    <col min="12044" max="12044" width="9.28515625" style="438" customWidth="1"/>
    <col min="12045" max="12046" width="8.42578125" style="438" customWidth="1"/>
    <col min="12047" max="12047" width="8.140625" style="438" customWidth="1"/>
    <col min="12048" max="12048" width="11.85546875" style="438" customWidth="1"/>
    <col min="12049" max="12049" width="10.140625" style="438" customWidth="1"/>
    <col min="12050" max="12050" width="3.5703125" style="438" customWidth="1"/>
    <col min="12051" max="12051" width="3.28515625" style="438" customWidth="1"/>
    <col min="12052" max="12052" width="10.140625" style="438" customWidth="1"/>
    <col min="12053" max="12287" width="9.140625" style="438"/>
    <col min="12288" max="12288" width="1.85546875" style="438" customWidth="1"/>
    <col min="12289" max="12289" width="16.5703125" style="438" bestFit="1" customWidth="1"/>
    <col min="12290" max="12290" width="9.5703125" style="438" bestFit="1" customWidth="1"/>
    <col min="12291" max="12292" width="9.140625" style="438"/>
    <col min="12293" max="12293" width="10.28515625" style="438" customWidth="1"/>
    <col min="12294" max="12294" width="9.28515625" style="438" customWidth="1"/>
    <col min="12295" max="12295" width="8.7109375" style="438" customWidth="1"/>
    <col min="12296" max="12296" width="10.28515625" style="438" customWidth="1"/>
    <col min="12297" max="12297" width="9.85546875" style="438" bestFit="1" customWidth="1"/>
    <col min="12298" max="12298" width="8.7109375" style="438" customWidth="1"/>
    <col min="12299" max="12299" width="8.5703125" style="438" customWidth="1"/>
    <col min="12300" max="12300" width="9.28515625" style="438" customWidth="1"/>
    <col min="12301" max="12302" width="8.42578125" style="438" customWidth="1"/>
    <col min="12303" max="12303" width="8.140625" style="438" customWidth="1"/>
    <col min="12304" max="12304" width="11.85546875" style="438" customWidth="1"/>
    <col min="12305" max="12305" width="10.140625" style="438" customWidth="1"/>
    <col min="12306" max="12306" width="3.5703125" style="438" customWidth="1"/>
    <col min="12307" max="12307" width="3.28515625" style="438" customWidth="1"/>
    <col min="12308" max="12308" width="10.140625" style="438" customWidth="1"/>
    <col min="12309" max="12543" width="9.140625" style="438"/>
    <col min="12544" max="12544" width="1.85546875" style="438" customWidth="1"/>
    <col min="12545" max="12545" width="16.5703125" style="438" bestFit="1" customWidth="1"/>
    <col min="12546" max="12546" width="9.5703125" style="438" bestFit="1" customWidth="1"/>
    <col min="12547" max="12548" width="9.140625" style="438"/>
    <col min="12549" max="12549" width="10.28515625" style="438" customWidth="1"/>
    <col min="12550" max="12550" width="9.28515625" style="438" customWidth="1"/>
    <col min="12551" max="12551" width="8.7109375" style="438" customWidth="1"/>
    <col min="12552" max="12552" width="10.28515625" style="438" customWidth="1"/>
    <col min="12553" max="12553" width="9.85546875" style="438" bestFit="1" customWidth="1"/>
    <col min="12554" max="12554" width="8.7109375" style="438" customWidth="1"/>
    <col min="12555" max="12555" width="8.5703125" style="438" customWidth="1"/>
    <col min="12556" max="12556" width="9.28515625" style="438" customWidth="1"/>
    <col min="12557" max="12558" width="8.42578125" style="438" customWidth="1"/>
    <col min="12559" max="12559" width="8.140625" style="438" customWidth="1"/>
    <col min="12560" max="12560" width="11.85546875" style="438" customWidth="1"/>
    <col min="12561" max="12561" width="10.140625" style="438" customWidth="1"/>
    <col min="12562" max="12562" width="3.5703125" style="438" customWidth="1"/>
    <col min="12563" max="12563" width="3.28515625" style="438" customWidth="1"/>
    <col min="12564" max="12564" width="10.140625" style="438" customWidth="1"/>
    <col min="12565" max="12799" width="9.140625" style="438"/>
    <col min="12800" max="12800" width="1.85546875" style="438" customWidth="1"/>
    <col min="12801" max="12801" width="16.5703125" style="438" bestFit="1" customWidth="1"/>
    <col min="12802" max="12802" width="9.5703125" style="438" bestFit="1" customWidth="1"/>
    <col min="12803" max="12804" width="9.140625" style="438"/>
    <col min="12805" max="12805" width="10.28515625" style="438" customWidth="1"/>
    <col min="12806" max="12806" width="9.28515625" style="438" customWidth="1"/>
    <col min="12807" max="12807" width="8.7109375" style="438" customWidth="1"/>
    <col min="12808" max="12808" width="10.28515625" style="438" customWidth="1"/>
    <col min="12809" max="12809" width="9.85546875" style="438" bestFit="1" customWidth="1"/>
    <col min="12810" max="12810" width="8.7109375" style="438" customWidth="1"/>
    <col min="12811" max="12811" width="8.5703125" style="438" customWidth="1"/>
    <col min="12812" max="12812" width="9.28515625" style="438" customWidth="1"/>
    <col min="12813" max="12814" width="8.42578125" style="438" customWidth="1"/>
    <col min="12815" max="12815" width="8.140625" style="438" customWidth="1"/>
    <col min="12816" max="12816" width="11.85546875" style="438" customWidth="1"/>
    <col min="12817" max="12817" width="10.140625" style="438" customWidth="1"/>
    <col min="12818" max="12818" width="3.5703125" style="438" customWidth="1"/>
    <col min="12819" max="12819" width="3.28515625" style="438" customWidth="1"/>
    <col min="12820" max="12820" width="10.140625" style="438" customWidth="1"/>
    <col min="12821" max="13055" width="9.140625" style="438"/>
    <col min="13056" max="13056" width="1.85546875" style="438" customWidth="1"/>
    <col min="13057" max="13057" width="16.5703125" style="438" bestFit="1" customWidth="1"/>
    <col min="13058" max="13058" width="9.5703125" style="438" bestFit="1" customWidth="1"/>
    <col min="13059" max="13060" width="9.140625" style="438"/>
    <col min="13061" max="13061" width="10.28515625" style="438" customWidth="1"/>
    <col min="13062" max="13062" width="9.28515625" style="438" customWidth="1"/>
    <col min="13063" max="13063" width="8.7109375" style="438" customWidth="1"/>
    <col min="13064" max="13064" width="10.28515625" style="438" customWidth="1"/>
    <col min="13065" max="13065" width="9.85546875" style="438" bestFit="1" customWidth="1"/>
    <col min="13066" max="13066" width="8.7109375" style="438" customWidth="1"/>
    <col min="13067" max="13067" width="8.5703125" style="438" customWidth="1"/>
    <col min="13068" max="13068" width="9.28515625" style="438" customWidth="1"/>
    <col min="13069" max="13070" width="8.42578125" style="438" customWidth="1"/>
    <col min="13071" max="13071" width="8.140625" style="438" customWidth="1"/>
    <col min="13072" max="13072" width="11.85546875" style="438" customWidth="1"/>
    <col min="13073" max="13073" width="10.140625" style="438" customWidth="1"/>
    <col min="13074" max="13074" width="3.5703125" style="438" customWidth="1"/>
    <col min="13075" max="13075" width="3.28515625" style="438" customWidth="1"/>
    <col min="13076" max="13076" width="10.140625" style="438" customWidth="1"/>
    <col min="13077" max="13311" width="9.140625" style="438"/>
    <col min="13312" max="13312" width="1.85546875" style="438" customWidth="1"/>
    <col min="13313" max="13313" width="16.5703125" style="438" bestFit="1" customWidth="1"/>
    <col min="13314" max="13314" width="9.5703125" style="438" bestFit="1" customWidth="1"/>
    <col min="13315" max="13316" width="9.140625" style="438"/>
    <col min="13317" max="13317" width="10.28515625" style="438" customWidth="1"/>
    <col min="13318" max="13318" width="9.28515625" style="438" customWidth="1"/>
    <col min="13319" max="13319" width="8.7109375" style="438" customWidth="1"/>
    <col min="13320" max="13320" width="10.28515625" style="438" customWidth="1"/>
    <col min="13321" max="13321" width="9.85546875" style="438" bestFit="1" customWidth="1"/>
    <col min="13322" max="13322" width="8.7109375" style="438" customWidth="1"/>
    <col min="13323" max="13323" width="8.5703125" style="438" customWidth="1"/>
    <col min="13324" max="13324" width="9.28515625" style="438" customWidth="1"/>
    <col min="13325" max="13326" width="8.42578125" style="438" customWidth="1"/>
    <col min="13327" max="13327" width="8.140625" style="438" customWidth="1"/>
    <col min="13328" max="13328" width="11.85546875" style="438" customWidth="1"/>
    <col min="13329" max="13329" width="10.140625" style="438" customWidth="1"/>
    <col min="13330" max="13330" width="3.5703125" style="438" customWidth="1"/>
    <col min="13331" max="13331" width="3.28515625" style="438" customWidth="1"/>
    <col min="13332" max="13332" width="10.140625" style="438" customWidth="1"/>
    <col min="13333" max="13567" width="9.140625" style="438"/>
    <col min="13568" max="13568" width="1.85546875" style="438" customWidth="1"/>
    <col min="13569" max="13569" width="16.5703125" style="438" bestFit="1" customWidth="1"/>
    <col min="13570" max="13570" width="9.5703125" style="438" bestFit="1" customWidth="1"/>
    <col min="13571" max="13572" width="9.140625" style="438"/>
    <col min="13573" max="13573" width="10.28515625" style="438" customWidth="1"/>
    <col min="13574" max="13574" width="9.28515625" style="438" customWidth="1"/>
    <col min="13575" max="13575" width="8.7109375" style="438" customWidth="1"/>
    <col min="13576" max="13576" width="10.28515625" style="438" customWidth="1"/>
    <col min="13577" max="13577" width="9.85546875" style="438" bestFit="1" customWidth="1"/>
    <col min="13578" max="13578" width="8.7109375" style="438" customWidth="1"/>
    <col min="13579" max="13579" width="8.5703125" style="438" customWidth="1"/>
    <col min="13580" max="13580" width="9.28515625" style="438" customWidth="1"/>
    <col min="13581" max="13582" width="8.42578125" style="438" customWidth="1"/>
    <col min="13583" max="13583" width="8.140625" style="438" customWidth="1"/>
    <col min="13584" max="13584" width="11.85546875" style="438" customWidth="1"/>
    <col min="13585" max="13585" width="10.140625" style="438" customWidth="1"/>
    <col min="13586" max="13586" width="3.5703125" style="438" customWidth="1"/>
    <col min="13587" max="13587" width="3.28515625" style="438" customWidth="1"/>
    <col min="13588" max="13588" width="10.140625" style="438" customWidth="1"/>
    <col min="13589" max="13823" width="9.140625" style="438"/>
    <col min="13824" max="13824" width="1.85546875" style="438" customWidth="1"/>
    <col min="13825" max="13825" width="16.5703125" style="438" bestFit="1" customWidth="1"/>
    <col min="13826" max="13826" width="9.5703125" style="438" bestFit="1" customWidth="1"/>
    <col min="13827" max="13828" width="9.140625" style="438"/>
    <col min="13829" max="13829" width="10.28515625" style="438" customWidth="1"/>
    <col min="13830" max="13830" width="9.28515625" style="438" customWidth="1"/>
    <col min="13831" max="13831" width="8.7109375" style="438" customWidth="1"/>
    <col min="13832" max="13832" width="10.28515625" style="438" customWidth="1"/>
    <col min="13833" max="13833" width="9.85546875" style="438" bestFit="1" customWidth="1"/>
    <col min="13834" max="13834" width="8.7109375" style="438" customWidth="1"/>
    <col min="13835" max="13835" width="8.5703125" style="438" customWidth="1"/>
    <col min="13836" max="13836" width="9.28515625" style="438" customWidth="1"/>
    <col min="13837" max="13838" width="8.42578125" style="438" customWidth="1"/>
    <col min="13839" max="13839" width="8.140625" style="438" customWidth="1"/>
    <col min="13840" max="13840" width="11.85546875" style="438" customWidth="1"/>
    <col min="13841" max="13841" width="10.140625" style="438" customWidth="1"/>
    <col min="13842" max="13842" width="3.5703125" style="438" customWidth="1"/>
    <col min="13843" max="13843" width="3.28515625" style="438" customWidth="1"/>
    <col min="13844" max="13844" width="10.140625" style="438" customWidth="1"/>
    <col min="13845" max="14079" width="9.140625" style="438"/>
    <col min="14080" max="14080" width="1.85546875" style="438" customWidth="1"/>
    <col min="14081" max="14081" width="16.5703125" style="438" bestFit="1" customWidth="1"/>
    <col min="14082" max="14082" width="9.5703125" style="438" bestFit="1" customWidth="1"/>
    <col min="14083" max="14084" width="9.140625" style="438"/>
    <col min="14085" max="14085" width="10.28515625" style="438" customWidth="1"/>
    <col min="14086" max="14086" width="9.28515625" style="438" customWidth="1"/>
    <col min="14087" max="14087" width="8.7109375" style="438" customWidth="1"/>
    <col min="14088" max="14088" width="10.28515625" style="438" customWidth="1"/>
    <col min="14089" max="14089" width="9.85546875" style="438" bestFit="1" customWidth="1"/>
    <col min="14090" max="14090" width="8.7109375" style="438" customWidth="1"/>
    <col min="14091" max="14091" width="8.5703125" style="438" customWidth="1"/>
    <col min="14092" max="14092" width="9.28515625" style="438" customWidth="1"/>
    <col min="14093" max="14094" width="8.42578125" style="438" customWidth="1"/>
    <col min="14095" max="14095" width="8.140625" style="438" customWidth="1"/>
    <col min="14096" max="14096" width="11.85546875" style="438" customWidth="1"/>
    <col min="14097" max="14097" width="10.140625" style="438" customWidth="1"/>
    <col min="14098" max="14098" width="3.5703125" style="438" customWidth="1"/>
    <col min="14099" max="14099" width="3.28515625" style="438" customWidth="1"/>
    <col min="14100" max="14100" width="10.140625" style="438" customWidth="1"/>
    <col min="14101" max="14335" width="9.140625" style="438"/>
    <col min="14336" max="14336" width="1.85546875" style="438" customWidth="1"/>
    <col min="14337" max="14337" width="16.5703125" style="438" bestFit="1" customWidth="1"/>
    <col min="14338" max="14338" width="9.5703125" style="438" bestFit="1" customWidth="1"/>
    <col min="14339" max="14340" width="9.140625" style="438"/>
    <col min="14341" max="14341" width="10.28515625" style="438" customWidth="1"/>
    <col min="14342" max="14342" width="9.28515625" style="438" customWidth="1"/>
    <col min="14343" max="14343" width="8.7109375" style="438" customWidth="1"/>
    <col min="14344" max="14344" width="10.28515625" style="438" customWidth="1"/>
    <col min="14345" max="14345" width="9.85546875" style="438" bestFit="1" customWidth="1"/>
    <col min="14346" max="14346" width="8.7109375" style="438" customWidth="1"/>
    <col min="14347" max="14347" width="8.5703125" style="438" customWidth="1"/>
    <col min="14348" max="14348" width="9.28515625" style="438" customWidth="1"/>
    <col min="14349" max="14350" width="8.42578125" style="438" customWidth="1"/>
    <col min="14351" max="14351" width="8.140625" style="438" customWidth="1"/>
    <col min="14352" max="14352" width="11.85546875" style="438" customWidth="1"/>
    <col min="14353" max="14353" width="10.140625" style="438" customWidth="1"/>
    <col min="14354" max="14354" width="3.5703125" style="438" customWidth="1"/>
    <col min="14355" max="14355" width="3.28515625" style="438" customWidth="1"/>
    <col min="14356" max="14356" width="10.140625" style="438" customWidth="1"/>
    <col min="14357" max="14591" width="9.140625" style="438"/>
    <col min="14592" max="14592" width="1.85546875" style="438" customWidth="1"/>
    <col min="14593" max="14593" width="16.5703125" style="438" bestFit="1" customWidth="1"/>
    <col min="14594" max="14594" width="9.5703125" style="438" bestFit="1" customWidth="1"/>
    <col min="14595" max="14596" width="9.140625" style="438"/>
    <col min="14597" max="14597" width="10.28515625" style="438" customWidth="1"/>
    <col min="14598" max="14598" width="9.28515625" style="438" customWidth="1"/>
    <col min="14599" max="14599" width="8.7109375" style="438" customWidth="1"/>
    <col min="14600" max="14600" width="10.28515625" style="438" customWidth="1"/>
    <col min="14601" max="14601" width="9.85546875" style="438" bestFit="1" customWidth="1"/>
    <col min="14602" max="14602" width="8.7109375" style="438" customWidth="1"/>
    <col min="14603" max="14603" width="8.5703125" style="438" customWidth="1"/>
    <col min="14604" max="14604" width="9.28515625" style="438" customWidth="1"/>
    <col min="14605" max="14606" width="8.42578125" style="438" customWidth="1"/>
    <col min="14607" max="14607" width="8.140625" style="438" customWidth="1"/>
    <col min="14608" max="14608" width="11.85546875" style="438" customWidth="1"/>
    <col min="14609" max="14609" width="10.140625" style="438" customWidth="1"/>
    <col min="14610" max="14610" width="3.5703125" style="438" customWidth="1"/>
    <col min="14611" max="14611" width="3.28515625" style="438" customWidth="1"/>
    <col min="14612" max="14612" width="10.140625" style="438" customWidth="1"/>
    <col min="14613" max="14847" width="9.140625" style="438"/>
    <col min="14848" max="14848" width="1.85546875" style="438" customWidth="1"/>
    <col min="14849" max="14849" width="16.5703125" style="438" bestFit="1" customWidth="1"/>
    <col min="14850" max="14850" width="9.5703125" style="438" bestFit="1" customWidth="1"/>
    <col min="14851" max="14852" width="9.140625" style="438"/>
    <col min="14853" max="14853" width="10.28515625" style="438" customWidth="1"/>
    <col min="14854" max="14854" width="9.28515625" style="438" customWidth="1"/>
    <col min="14855" max="14855" width="8.7109375" style="438" customWidth="1"/>
    <col min="14856" max="14856" width="10.28515625" style="438" customWidth="1"/>
    <col min="14857" max="14857" width="9.85546875" style="438" bestFit="1" customWidth="1"/>
    <col min="14858" max="14858" width="8.7109375" style="438" customWidth="1"/>
    <col min="14859" max="14859" width="8.5703125" style="438" customWidth="1"/>
    <col min="14860" max="14860" width="9.28515625" style="438" customWidth="1"/>
    <col min="14861" max="14862" width="8.42578125" style="438" customWidth="1"/>
    <col min="14863" max="14863" width="8.140625" style="438" customWidth="1"/>
    <col min="14864" max="14864" width="11.85546875" style="438" customWidth="1"/>
    <col min="14865" max="14865" width="10.140625" style="438" customWidth="1"/>
    <col min="14866" max="14866" width="3.5703125" style="438" customWidth="1"/>
    <col min="14867" max="14867" width="3.28515625" style="438" customWidth="1"/>
    <col min="14868" max="14868" width="10.140625" style="438" customWidth="1"/>
    <col min="14869" max="15103" width="9.140625" style="438"/>
    <col min="15104" max="15104" width="1.85546875" style="438" customWidth="1"/>
    <col min="15105" max="15105" width="16.5703125" style="438" bestFit="1" customWidth="1"/>
    <col min="15106" max="15106" width="9.5703125" style="438" bestFit="1" customWidth="1"/>
    <col min="15107" max="15108" width="9.140625" style="438"/>
    <col min="15109" max="15109" width="10.28515625" style="438" customWidth="1"/>
    <col min="15110" max="15110" width="9.28515625" style="438" customWidth="1"/>
    <col min="15111" max="15111" width="8.7109375" style="438" customWidth="1"/>
    <col min="15112" max="15112" width="10.28515625" style="438" customWidth="1"/>
    <col min="15113" max="15113" width="9.85546875" style="438" bestFit="1" customWidth="1"/>
    <col min="15114" max="15114" width="8.7109375" style="438" customWidth="1"/>
    <col min="15115" max="15115" width="8.5703125" style="438" customWidth="1"/>
    <col min="15116" max="15116" width="9.28515625" style="438" customWidth="1"/>
    <col min="15117" max="15118" width="8.42578125" style="438" customWidth="1"/>
    <col min="15119" max="15119" width="8.140625" style="438" customWidth="1"/>
    <col min="15120" max="15120" width="11.85546875" style="438" customWidth="1"/>
    <col min="15121" max="15121" width="10.140625" style="438" customWidth="1"/>
    <col min="15122" max="15122" width="3.5703125" style="438" customWidth="1"/>
    <col min="15123" max="15123" width="3.28515625" style="438" customWidth="1"/>
    <col min="15124" max="15124" width="10.140625" style="438" customWidth="1"/>
    <col min="15125" max="15359" width="9.140625" style="438"/>
    <col min="15360" max="15360" width="1.85546875" style="438" customWidth="1"/>
    <col min="15361" max="15361" width="16.5703125" style="438" bestFit="1" customWidth="1"/>
    <col min="15362" max="15362" width="9.5703125" style="438" bestFit="1" customWidth="1"/>
    <col min="15363" max="15364" width="9.140625" style="438"/>
    <col min="15365" max="15365" width="10.28515625" style="438" customWidth="1"/>
    <col min="15366" max="15366" width="9.28515625" style="438" customWidth="1"/>
    <col min="15367" max="15367" width="8.7109375" style="438" customWidth="1"/>
    <col min="15368" max="15368" width="10.28515625" style="438" customWidth="1"/>
    <col min="15369" max="15369" width="9.85546875" style="438" bestFit="1" customWidth="1"/>
    <col min="15370" max="15370" width="8.7109375" style="438" customWidth="1"/>
    <col min="15371" max="15371" width="8.5703125" style="438" customWidth="1"/>
    <col min="15372" max="15372" width="9.28515625" style="438" customWidth="1"/>
    <col min="15373" max="15374" width="8.42578125" style="438" customWidth="1"/>
    <col min="15375" max="15375" width="8.140625" style="438" customWidth="1"/>
    <col min="15376" max="15376" width="11.85546875" style="438" customWidth="1"/>
    <col min="15377" max="15377" width="10.140625" style="438" customWidth="1"/>
    <col min="15378" max="15378" width="3.5703125" style="438" customWidth="1"/>
    <col min="15379" max="15379" width="3.28515625" style="438" customWidth="1"/>
    <col min="15380" max="15380" width="10.140625" style="438" customWidth="1"/>
    <col min="15381" max="15615" width="9.140625" style="438"/>
    <col min="15616" max="15616" width="1.85546875" style="438" customWidth="1"/>
    <col min="15617" max="15617" width="16.5703125" style="438" bestFit="1" customWidth="1"/>
    <col min="15618" max="15618" width="9.5703125" style="438" bestFit="1" customWidth="1"/>
    <col min="15619" max="15620" width="9.140625" style="438"/>
    <col min="15621" max="15621" width="10.28515625" style="438" customWidth="1"/>
    <col min="15622" max="15622" width="9.28515625" style="438" customWidth="1"/>
    <col min="15623" max="15623" width="8.7109375" style="438" customWidth="1"/>
    <col min="15624" max="15624" width="10.28515625" style="438" customWidth="1"/>
    <col min="15625" max="15625" width="9.85546875" style="438" bestFit="1" customWidth="1"/>
    <col min="15626" max="15626" width="8.7109375" style="438" customWidth="1"/>
    <col min="15627" max="15627" width="8.5703125" style="438" customWidth="1"/>
    <col min="15628" max="15628" width="9.28515625" style="438" customWidth="1"/>
    <col min="15629" max="15630" width="8.42578125" style="438" customWidth="1"/>
    <col min="15631" max="15631" width="8.140625" style="438" customWidth="1"/>
    <col min="15632" max="15632" width="11.85546875" style="438" customWidth="1"/>
    <col min="15633" max="15633" width="10.140625" style="438" customWidth="1"/>
    <col min="15634" max="15634" width="3.5703125" style="438" customWidth="1"/>
    <col min="15635" max="15635" width="3.28515625" style="438" customWidth="1"/>
    <col min="15636" max="15636" width="10.140625" style="438" customWidth="1"/>
    <col min="15637" max="15871" width="9.140625" style="438"/>
    <col min="15872" max="15872" width="1.85546875" style="438" customWidth="1"/>
    <col min="15873" max="15873" width="16.5703125" style="438" bestFit="1" customWidth="1"/>
    <col min="15874" max="15874" width="9.5703125" style="438" bestFit="1" customWidth="1"/>
    <col min="15875" max="15876" width="9.140625" style="438"/>
    <col min="15877" max="15877" width="10.28515625" style="438" customWidth="1"/>
    <col min="15878" max="15878" width="9.28515625" style="438" customWidth="1"/>
    <col min="15879" max="15879" width="8.7109375" style="438" customWidth="1"/>
    <col min="15880" max="15880" width="10.28515625" style="438" customWidth="1"/>
    <col min="15881" max="15881" width="9.85546875" style="438" bestFit="1" customWidth="1"/>
    <col min="15882" max="15882" width="8.7109375" style="438" customWidth="1"/>
    <col min="15883" max="15883" width="8.5703125" style="438" customWidth="1"/>
    <col min="15884" max="15884" width="9.28515625" style="438" customWidth="1"/>
    <col min="15885" max="15886" width="8.42578125" style="438" customWidth="1"/>
    <col min="15887" max="15887" width="8.140625" style="438" customWidth="1"/>
    <col min="15888" max="15888" width="11.85546875" style="438" customWidth="1"/>
    <col min="15889" max="15889" width="10.140625" style="438" customWidth="1"/>
    <col min="15890" max="15890" width="3.5703125" style="438" customWidth="1"/>
    <col min="15891" max="15891" width="3.28515625" style="438" customWidth="1"/>
    <col min="15892" max="15892" width="10.140625" style="438" customWidth="1"/>
    <col min="15893" max="16127" width="9.140625" style="438"/>
    <col min="16128" max="16128" width="1.85546875" style="438" customWidth="1"/>
    <col min="16129" max="16129" width="16.5703125" style="438" bestFit="1" customWidth="1"/>
    <col min="16130" max="16130" width="9.5703125" style="438" bestFit="1" customWidth="1"/>
    <col min="16131" max="16132" width="9.140625" style="438"/>
    <col min="16133" max="16133" width="10.28515625" style="438" customWidth="1"/>
    <col min="16134" max="16134" width="9.28515625" style="438" customWidth="1"/>
    <col min="16135" max="16135" width="8.7109375" style="438" customWidth="1"/>
    <col min="16136" max="16136" width="10.28515625" style="438" customWidth="1"/>
    <col min="16137" max="16137" width="9.85546875" style="438" bestFit="1" customWidth="1"/>
    <col min="16138" max="16138" width="8.7109375" style="438" customWidth="1"/>
    <col min="16139" max="16139" width="8.5703125" style="438" customWidth="1"/>
    <col min="16140" max="16140" width="9.28515625" style="438" customWidth="1"/>
    <col min="16141" max="16142" width="8.42578125" style="438" customWidth="1"/>
    <col min="16143" max="16143" width="8.140625" style="438" customWidth="1"/>
    <col min="16144" max="16144" width="11.85546875" style="438" customWidth="1"/>
    <col min="16145" max="16145" width="10.140625" style="438" customWidth="1"/>
    <col min="16146" max="16146" width="3.5703125" style="438" customWidth="1"/>
    <col min="16147" max="16147" width="3.28515625" style="438" customWidth="1"/>
    <col min="16148" max="16148" width="10.140625" style="438" customWidth="1"/>
    <col min="16149" max="16384" width="9.140625" style="438"/>
  </cols>
  <sheetData>
    <row r="1" spans="1:37" ht="20.25">
      <c r="C1" s="843" t="s">
        <v>463</v>
      </c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3"/>
      <c r="T1" s="843"/>
      <c r="U1" s="843"/>
      <c r="V1" s="843"/>
      <c r="W1" s="843"/>
      <c r="X1" s="843"/>
      <c r="Y1" s="843"/>
      <c r="Z1" s="843"/>
      <c r="AA1" s="843"/>
      <c r="AB1" s="843"/>
      <c r="AC1" s="843"/>
      <c r="AD1" s="843"/>
      <c r="AE1" s="843"/>
      <c r="AF1" s="843"/>
      <c r="AG1" s="843"/>
      <c r="AH1" s="843"/>
      <c r="AI1" s="843"/>
      <c r="AJ1" s="843"/>
      <c r="AK1" s="843"/>
    </row>
    <row r="2" spans="1:37" ht="21" thickBot="1"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</row>
    <row r="3" spans="1:37" ht="13.5" thickBot="1">
      <c r="L3" s="444"/>
      <c r="P3" s="446">
        <f>+Parameters!F4</f>
        <v>3.2750000000000004</v>
      </c>
      <c r="Q3" s="446"/>
      <c r="S3" s="840" t="s">
        <v>339</v>
      </c>
      <c r="T3" s="841"/>
      <c r="U3" s="841"/>
      <c r="V3" s="841"/>
      <c r="W3" s="841"/>
      <c r="X3" s="841"/>
      <c r="Y3" s="841"/>
      <c r="Z3" s="841"/>
      <c r="AA3" s="841"/>
      <c r="AB3" s="841"/>
      <c r="AC3" s="841"/>
      <c r="AD3" s="842"/>
      <c r="AE3" s="840" t="s">
        <v>340</v>
      </c>
      <c r="AF3" s="841"/>
      <c r="AG3" s="841"/>
      <c r="AH3" s="841"/>
      <c r="AI3" s="841"/>
      <c r="AJ3" s="842"/>
    </row>
    <row r="4" spans="1:37" s="356" customFormat="1" ht="30" customHeight="1" thickBot="1">
      <c r="A4" s="437"/>
      <c r="B4" s="447" t="s">
        <v>295</v>
      </c>
      <c r="C4" s="447" t="s">
        <v>324</v>
      </c>
      <c r="D4" s="448" t="s">
        <v>284</v>
      </c>
      <c r="E4" s="447" t="s">
        <v>286</v>
      </c>
      <c r="F4" s="449" t="s">
        <v>300</v>
      </c>
      <c r="G4" s="449" t="s">
        <v>285</v>
      </c>
      <c r="H4" s="449" t="s">
        <v>301</v>
      </c>
      <c r="I4" s="449" t="s">
        <v>287</v>
      </c>
      <c r="J4" s="449" t="s">
        <v>288</v>
      </c>
      <c r="K4" s="449" t="s">
        <v>302</v>
      </c>
      <c r="L4" s="450" t="s">
        <v>289</v>
      </c>
      <c r="M4" s="451" t="s">
        <v>290</v>
      </c>
      <c r="N4" s="447" t="s">
        <v>333</v>
      </c>
      <c r="O4" s="447" t="s">
        <v>264</v>
      </c>
      <c r="P4" s="452" t="s">
        <v>292</v>
      </c>
      <c r="Q4" s="452" t="s">
        <v>420</v>
      </c>
      <c r="R4" s="438"/>
      <c r="S4" s="484">
        <v>1</v>
      </c>
      <c r="T4" s="484">
        <v>2</v>
      </c>
      <c r="U4" s="484">
        <v>3</v>
      </c>
      <c r="V4" s="484">
        <v>4</v>
      </c>
      <c r="W4" s="484">
        <v>5</v>
      </c>
      <c r="X4" s="484">
        <v>6</v>
      </c>
      <c r="Y4" s="484">
        <v>7</v>
      </c>
      <c r="Z4" s="484">
        <v>8</v>
      </c>
      <c r="AA4" s="484">
        <v>9</v>
      </c>
      <c r="AB4" s="484">
        <v>10</v>
      </c>
      <c r="AC4" s="484">
        <v>11</v>
      </c>
      <c r="AD4" s="484">
        <v>12</v>
      </c>
      <c r="AE4" s="484">
        <v>13</v>
      </c>
      <c r="AF4" s="484">
        <v>14</v>
      </c>
      <c r="AG4" s="484">
        <v>15</v>
      </c>
      <c r="AH4" s="484">
        <v>16</v>
      </c>
      <c r="AI4" s="484">
        <v>17</v>
      </c>
      <c r="AJ4" s="484">
        <v>18</v>
      </c>
      <c r="AK4" s="579" t="s">
        <v>23</v>
      </c>
    </row>
    <row r="5" spans="1:37">
      <c r="B5" s="453"/>
      <c r="C5" s="453"/>
      <c r="D5" s="454"/>
      <c r="E5" s="453" t="s">
        <v>293</v>
      </c>
      <c r="F5" s="453" t="s">
        <v>294</v>
      </c>
      <c r="G5" s="453" t="s">
        <v>294</v>
      </c>
      <c r="H5" s="453" t="s">
        <v>294</v>
      </c>
      <c r="I5" s="455" t="s">
        <v>294</v>
      </c>
      <c r="J5" s="453" t="s">
        <v>294</v>
      </c>
      <c r="K5" s="453" t="s">
        <v>294</v>
      </c>
      <c r="L5" s="456"/>
      <c r="M5" s="453"/>
      <c r="N5" s="453"/>
      <c r="O5" s="453" t="s">
        <v>304</v>
      </c>
      <c r="P5" s="457" t="s">
        <v>293</v>
      </c>
      <c r="Q5" s="457"/>
      <c r="S5" s="485" t="s">
        <v>24</v>
      </c>
      <c r="T5" s="485" t="s">
        <v>24</v>
      </c>
      <c r="U5" s="485" t="s">
        <v>24</v>
      </c>
      <c r="V5" s="485" t="s">
        <v>24</v>
      </c>
      <c r="W5" s="485" t="s">
        <v>24</v>
      </c>
      <c r="X5" s="485" t="s">
        <v>24</v>
      </c>
      <c r="Y5" s="485" t="s">
        <v>24</v>
      </c>
      <c r="Z5" s="485" t="s">
        <v>24</v>
      </c>
      <c r="AA5" s="485" t="s">
        <v>24</v>
      </c>
      <c r="AB5" s="485" t="s">
        <v>24</v>
      </c>
      <c r="AC5" s="485" t="s">
        <v>24</v>
      </c>
      <c r="AD5" s="485" t="s">
        <v>24</v>
      </c>
      <c r="AE5" s="485" t="s">
        <v>24</v>
      </c>
      <c r="AF5" s="485" t="s">
        <v>24</v>
      </c>
      <c r="AG5" s="485" t="s">
        <v>24</v>
      </c>
      <c r="AH5" s="485" t="s">
        <v>24</v>
      </c>
      <c r="AI5" s="485" t="s">
        <v>24</v>
      </c>
      <c r="AJ5" s="485" t="s">
        <v>24</v>
      </c>
      <c r="AK5" s="485" t="s">
        <v>24</v>
      </c>
    </row>
    <row r="6" spans="1:37" ht="15.75" customHeight="1">
      <c r="B6" s="750" t="s">
        <v>278</v>
      </c>
      <c r="C6" s="751" t="s">
        <v>67</v>
      </c>
      <c r="D6" s="752">
        <v>1</v>
      </c>
      <c r="E6" s="753">
        <v>30000</v>
      </c>
      <c r="F6" s="458">
        <f>+E6*0.05</f>
        <v>1500</v>
      </c>
      <c r="G6" s="458">
        <f>IF(E6&gt;14999,1163,0)</f>
        <v>1163</v>
      </c>
      <c r="H6" s="458">
        <f>+E6*0.0833</f>
        <v>2499</v>
      </c>
      <c r="I6" s="458">
        <f t="shared" ref="I6:I18" si="0">+E6*0.01</f>
        <v>300</v>
      </c>
      <c r="J6" s="458">
        <f>+E6*0.047</f>
        <v>1410</v>
      </c>
      <c r="K6" s="460">
        <f t="shared" ref="K6:K21" si="1">SUM(F6:J6)</f>
        <v>6872</v>
      </c>
      <c r="L6" s="460">
        <f>+E6*D6+K6</f>
        <v>36872</v>
      </c>
      <c r="M6" s="460"/>
      <c r="N6" s="458"/>
      <c r="O6" s="458">
        <f>+N6+M6+L6</f>
        <v>36872</v>
      </c>
      <c r="P6" s="467">
        <f>+O6/$P$3</f>
        <v>11258.625954198473</v>
      </c>
      <c r="Q6" s="756">
        <v>1</v>
      </c>
      <c r="S6" s="472">
        <f t="shared" ref="S6:AH6" si="2">IF($Q6=0,0,IF(S$4&gt;=$Q6,$P6,0))</f>
        <v>11258.625954198473</v>
      </c>
      <c r="T6" s="472">
        <f t="shared" si="2"/>
        <v>11258.625954198473</v>
      </c>
      <c r="U6" s="472">
        <f t="shared" si="2"/>
        <v>11258.625954198473</v>
      </c>
      <c r="V6" s="472">
        <f t="shared" si="2"/>
        <v>11258.625954198473</v>
      </c>
      <c r="W6" s="472">
        <f t="shared" si="2"/>
        <v>11258.625954198473</v>
      </c>
      <c r="X6" s="472">
        <f t="shared" si="2"/>
        <v>11258.625954198473</v>
      </c>
      <c r="Y6" s="472">
        <f t="shared" si="2"/>
        <v>11258.625954198473</v>
      </c>
      <c r="Z6" s="472">
        <f t="shared" si="2"/>
        <v>11258.625954198473</v>
      </c>
      <c r="AA6" s="472">
        <f t="shared" si="2"/>
        <v>11258.625954198473</v>
      </c>
      <c r="AB6" s="472">
        <f t="shared" si="2"/>
        <v>11258.625954198473</v>
      </c>
      <c r="AC6" s="472">
        <f t="shared" si="2"/>
        <v>11258.625954198473</v>
      </c>
      <c r="AD6" s="472">
        <f t="shared" si="2"/>
        <v>11258.625954198473</v>
      </c>
      <c r="AE6" s="472">
        <f t="shared" si="2"/>
        <v>11258.625954198473</v>
      </c>
      <c r="AF6" s="472">
        <f t="shared" si="2"/>
        <v>11258.625954198473</v>
      </c>
      <c r="AG6" s="472">
        <f t="shared" si="2"/>
        <v>11258.625954198473</v>
      </c>
      <c r="AH6" s="472">
        <f t="shared" si="2"/>
        <v>11258.625954198473</v>
      </c>
      <c r="AI6" s="472">
        <f t="shared" ref="AI6:AJ6" si="3">IF($Q6=0,0,IF(AI$4&gt;=$Q6,$P6,0))</f>
        <v>11258.625954198473</v>
      </c>
      <c r="AJ6" s="472">
        <f t="shared" si="3"/>
        <v>11258.625954198473</v>
      </c>
      <c r="AK6" s="472">
        <f>SUM(S6:AJ6)</f>
        <v>202655.26717557255</v>
      </c>
    </row>
    <row r="7" spans="1:37">
      <c r="B7" s="750" t="s">
        <v>337</v>
      </c>
      <c r="C7" s="751" t="s">
        <v>67</v>
      </c>
      <c r="D7" s="752">
        <v>1</v>
      </c>
      <c r="E7" s="753">
        <v>30000</v>
      </c>
      <c r="F7" s="458">
        <f>+E7*0.05</f>
        <v>1500</v>
      </c>
      <c r="G7" s="458">
        <f>IF(E7&gt;14999,1163,0)</f>
        <v>1163</v>
      </c>
      <c r="H7" s="458">
        <f>+E7*0.0833</f>
        <v>2499</v>
      </c>
      <c r="I7" s="458">
        <f>+E7*0.01</f>
        <v>300</v>
      </c>
      <c r="J7" s="458">
        <f>+E7*0.047</f>
        <v>1410</v>
      </c>
      <c r="K7" s="460">
        <f>SUM(F7:J7)</f>
        <v>6872</v>
      </c>
      <c r="L7" s="460">
        <f>+E7*D7+K7</f>
        <v>36872</v>
      </c>
      <c r="M7" s="460"/>
      <c r="N7" s="458"/>
      <c r="O7" s="458">
        <f>+N7+M7+L7</f>
        <v>36872</v>
      </c>
      <c r="P7" s="467">
        <f>+O7/$P$3</f>
        <v>11258.625954198473</v>
      </c>
      <c r="Q7" s="756">
        <v>1</v>
      </c>
      <c r="S7" s="472">
        <f t="shared" ref="S7:AJ21" si="4">IF($Q7=0,0,IF(S$4&gt;=$Q7,$P7,0))</f>
        <v>11258.625954198473</v>
      </c>
      <c r="T7" s="472">
        <f t="shared" si="4"/>
        <v>11258.625954198473</v>
      </c>
      <c r="U7" s="472">
        <f t="shared" si="4"/>
        <v>11258.625954198473</v>
      </c>
      <c r="V7" s="472">
        <f t="shared" si="4"/>
        <v>11258.625954198473</v>
      </c>
      <c r="W7" s="472">
        <f t="shared" si="4"/>
        <v>11258.625954198473</v>
      </c>
      <c r="X7" s="472">
        <f t="shared" si="4"/>
        <v>11258.625954198473</v>
      </c>
      <c r="Y7" s="472">
        <f t="shared" si="4"/>
        <v>11258.625954198473</v>
      </c>
      <c r="Z7" s="472">
        <f t="shared" si="4"/>
        <v>11258.625954198473</v>
      </c>
      <c r="AA7" s="472">
        <f t="shared" si="4"/>
        <v>11258.625954198473</v>
      </c>
      <c r="AB7" s="472">
        <f t="shared" si="4"/>
        <v>11258.625954198473</v>
      </c>
      <c r="AC7" s="472">
        <f t="shared" si="4"/>
        <v>11258.625954198473</v>
      </c>
      <c r="AD7" s="472">
        <f t="shared" si="4"/>
        <v>11258.625954198473</v>
      </c>
      <c r="AE7" s="472">
        <f t="shared" si="4"/>
        <v>11258.625954198473</v>
      </c>
      <c r="AF7" s="472">
        <f t="shared" si="4"/>
        <v>11258.625954198473</v>
      </c>
      <c r="AG7" s="472">
        <f t="shared" si="4"/>
        <v>11258.625954198473</v>
      </c>
      <c r="AH7" s="472">
        <f t="shared" si="4"/>
        <v>11258.625954198473</v>
      </c>
      <c r="AI7" s="472">
        <f t="shared" si="4"/>
        <v>11258.625954198473</v>
      </c>
      <c r="AJ7" s="472">
        <f t="shared" si="4"/>
        <v>11258.625954198473</v>
      </c>
      <c r="AK7" s="472">
        <f t="shared" ref="AK7:AK23" si="5">SUM(S7:AJ7)</f>
        <v>202655.26717557255</v>
      </c>
    </row>
    <row r="8" spans="1:37">
      <c r="B8" s="750" t="s">
        <v>75</v>
      </c>
      <c r="C8" s="754" t="s">
        <v>32</v>
      </c>
      <c r="D8" s="752">
        <v>1</v>
      </c>
      <c r="E8" s="753">
        <v>25000</v>
      </c>
      <c r="F8" s="458">
        <f t="shared" ref="F8:F18" si="6">+E8*0.05</f>
        <v>1250</v>
      </c>
      <c r="G8" s="458">
        <f t="shared" ref="G8:G18" si="7">IF(E8&gt;14999,1163,0)</f>
        <v>1163</v>
      </c>
      <c r="H8" s="458">
        <f t="shared" ref="H8:H18" si="8">+E8*0.0833</f>
        <v>2082.5</v>
      </c>
      <c r="I8" s="458">
        <f t="shared" si="0"/>
        <v>250</v>
      </c>
      <c r="J8" s="458">
        <f t="shared" ref="J8:J21" si="9">+E8*0.047</f>
        <v>1175</v>
      </c>
      <c r="K8" s="460">
        <f t="shared" si="1"/>
        <v>5920.5</v>
      </c>
      <c r="L8" s="460">
        <f t="shared" ref="L8:L23" si="10">+E8*D8+K8</f>
        <v>30920.5</v>
      </c>
      <c r="M8" s="460"/>
      <c r="N8" s="458"/>
      <c r="O8" s="458">
        <f t="shared" ref="O8:O13" si="11">+N8+M8+L8</f>
        <v>30920.5</v>
      </c>
      <c r="P8" s="467">
        <f t="shared" ref="P8:P15" si="12">+O8/$P$3</f>
        <v>9441.3740458015254</v>
      </c>
      <c r="Q8" s="756">
        <v>3</v>
      </c>
      <c r="S8" s="472">
        <f t="shared" si="4"/>
        <v>0</v>
      </c>
      <c r="T8" s="472">
        <f t="shared" si="4"/>
        <v>0</v>
      </c>
      <c r="U8" s="472">
        <f t="shared" si="4"/>
        <v>9441.3740458015254</v>
      </c>
      <c r="V8" s="472">
        <f t="shared" si="4"/>
        <v>9441.3740458015254</v>
      </c>
      <c r="W8" s="472">
        <f t="shared" si="4"/>
        <v>9441.3740458015254</v>
      </c>
      <c r="X8" s="472">
        <f t="shared" si="4"/>
        <v>9441.3740458015254</v>
      </c>
      <c r="Y8" s="472">
        <f t="shared" si="4"/>
        <v>9441.3740458015254</v>
      </c>
      <c r="Z8" s="472">
        <f t="shared" si="4"/>
        <v>9441.3740458015254</v>
      </c>
      <c r="AA8" s="472">
        <f t="shared" si="4"/>
        <v>9441.3740458015254</v>
      </c>
      <c r="AB8" s="472">
        <f t="shared" si="4"/>
        <v>9441.3740458015254</v>
      </c>
      <c r="AC8" s="472">
        <f t="shared" si="4"/>
        <v>9441.3740458015254</v>
      </c>
      <c r="AD8" s="472">
        <f t="shared" si="4"/>
        <v>9441.3740458015254</v>
      </c>
      <c r="AE8" s="472">
        <f t="shared" si="4"/>
        <v>9441.3740458015254</v>
      </c>
      <c r="AF8" s="472">
        <f t="shared" si="4"/>
        <v>9441.3740458015254</v>
      </c>
      <c r="AG8" s="472">
        <f t="shared" si="4"/>
        <v>9441.3740458015254</v>
      </c>
      <c r="AH8" s="472">
        <f t="shared" si="4"/>
        <v>9441.3740458015254</v>
      </c>
      <c r="AI8" s="472">
        <f t="shared" si="4"/>
        <v>9441.3740458015254</v>
      </c>
      <c r="AJ8" s="472">
        <f t="shared" si="4"/>
        <v>9441.3740458015254</v>
      </c>
      <c r="AK8" s="472">
        <f t="shared" si="5"/>
        <v>151061.98473282441</v>
      </c>
    </row>
    <row r="9" spans="1:37">
      <c r="B9" s="750" t="s">
        <v>338</v>
      </c>
      <c r="C9" s="754" t="s">
        <v>32</v>
      </c>
      <c r="D9" s="752">
        <v>1</v>
      </c>
      <c r="E9" s="753">
        <v>28000</v>
      </c>
      <c r="F9" s="458">
        <f t="shared" ref="F9:F12" si="13">+E9*0.05</f>
        <v>1400</v>
      </c>
      <c r="G9" s="458">
        <f t="shared" si="7"/>
        <v>1163</v>
      </c>
      <c r="H9" s="458">
        <f t="shared" ref="H9:H12" si="14">+E9*0.0833</f>
        <v>2332.4</v>
      </c>
      <c r="I9" s="458">
        <f t="shared" ref="I9:I12" si="15">+E9*0.01</f>
        <v>280</v>
      </c>
      <c r="J9" s="458">
        <f t="shared" ref="J9:J12" si="16">+E9*0.047</f>
        <v>1316</v>
      </c>
      <c r="K9" s="460">
        <f t="shared" ref="K9:K12" si="17">SUM(F9:J9)</f>
        <v>6491.4</v>
      </c>
      <c r="L9" s="460">
        <f t="shared" si="10"/>
        <v>34491.4</v>
      </c>
      <c r="M9" s="460"/>
      <c r="N9" s="458"/>
      <c r="O9" s="458">
        <f t="shared" si="11"/>
        <v>34491.4</v>
      </c>
      <c r="P9" s="467">
        <f t="shared" ref="P9:P12" si="18">+O9/$P$3</f>
        <v>10531.725190839694</v>
      </c>
      <c r="Q9" s="756">
        <v>6</v>
      </c>
      <c r="S9" s="472">
        <f t="shared" si="4"/>
        <v>0</v>
      </c>
      <c r="T9" s="472">
        <f t="shared" si="4"/>
        <v>0</v>
      </c>
      <c r="U9" s="472">
        <f t="shared" si="4"/>
        <v>0</v>
      </c>
      <c r="V9" s="472">
        <f t="shared" si="4"/>
        <v>0</v>
      </c>
      <c r="W9" s="472">
        <f t="shared" si="4"/>
        <v>0</v>
      </c>
      <c r="X9" s="472">
        <f t="shared" si="4"/>
        <v>10531.725190839694</v>
      </c>
      <c r="Y9" s="472">
        <f t="shared" si="4"/>
        <v>10531.725190839694</v>
      </c>
      <c r="Z9" s="472">
        <f t="shared" si="4"/>
        <v>10531.725190839694</v>
      </c>
      <c r="AA9" s="472">
        <f t="shared" si="4"/>
        <v>10531.725190839694</v>
      </c>
      <c r="AB9" s="472">
        <f t="shared" si="4"/>
        <v>10531.725190839694</v>
      </c>
      <c r="AC9" s="472">
        <f t="shared" si="4"/>
        <v>10531.725190839694</v>
      </c>
      <c r="AD9" s="472">
        <f t="shared" si="4"/>
        <v>10531.725190839694</v>
      </c>
      <c r="AE9" s="472">
        <f t="shared" si="4"/>
        <v>10531.725190839694</v>
      </c>
      <c r="AF9" s="472">
        <f t="shared" si="4"/>
        <v>10531.725190839694</v>
      </c>
      <c r="AG9" s="472">
        <f t="shared" si="4"/>
        <v>10531.725190839694</v>
      </c>
      <c r="AH9" s="472">
        <f t="shared" si="4"/>
        <v>10531.725190839694</v>
      </c>
      <c r="AI9" s="472">
        <f t="shared" si="4"/>
        <v>10531.725190839694</v>
      </c>
      <c r="AJ9" s="472">
        <f t="shared" si="4"/>
        <v>10531.725190839694</v>
      </c>
      <c r="AK9" s="472">
        <f t="shared" si="5"/>
        <v>136912.42748091606</v>
      </c>
    </row>
    <row r="10" spans="1:37">
      <c r="B10" s="750" t="s">
        <v>338</v>
      </c>
      <c r="C10" s="754" t="s">
        <v>32</v>
      </c>
      <c r="D10" s="752">
        <v>1</v>
      </c>
      <c r="E10" s="753">
        <v>28000</v>
      </c>
      <c r="F10" s="458">
        <f>+E10*0.05*D10</f>
        <v>1400</v>
      </c>
      <c r="G10" s="458">
        <f>IF(E10&gt;14999,1163,0)*D10</f>
        <v>1163</v>
      </c>
      <c r="H10" s="458">
        <f>+E10*0.0833*D10</f>
        <v>2332.4</v>
      </c>
      <c r="I10" s="458">
        <f>+E10*0.01*D10</f>
        <v>280</v>
      </c>
      <c r="J10" s="458">
        <f>+E10*0.047*D10</f>
        <v>1316</v>
      </c>
      <c r="K10" s="460">
        <f t="shared" si="17"/>
        <v>6491.4</v>
      </c>
      <c r="L10" s="460">
        <f t="shared" si="10"/>
        <v>34491.4</v>
      </c>
      <c r="M10" s="460"/>
      <c r="N10" s="458"/>
      <c r="O10" s="458">
        <f t="shared" si="11"/>
        <v>34491.4</v>
      </c>
      <c r="P10" s="467">
        <f t="shared" ref="P10" si="19">+O10/$P$3</f>
        <v>10531.725190839694</v>
      </c>
      <c r="Q10" s="756">
        <v>8</v>
      </c>
      <c r="S10" s="472">
        <f t="shared" si="4"/>
        <v>0</v>
      </c>
      <c r="T10" s="472">
        <f t="shared" si="4"/>
        <v>0</v>
      </c>
      <c r="U10" s="472">
        <f t="shared" si="4"/>
        <v>0</v>
      </c>
      <c r="V10" s="472">
        <f t="shared" si="4"/>
        <v>0</v>
      </c>
      <c r="W10" s="472">
        <f t="shared" si="4"/>
        <v>0</v>
      </c>
      <c r="X10" s="472">
        <f t="shared" si="4"/>
        <v>0</v>
      </c>
      <c r="Y10" s="472">
        <f t="shared" si="4"/>
        <v>0</v>
      </c>
      <c r="Z10" s="472">
        <f t="shared" si="4"/>
        <v>10531.725190839694</v>
      </c>
      <c r="AA10" s="472">
        <f t="shared" si="4"/>
        <v>10531.725190839694</v>
      </c>
      <c r="AB10" s="472">
        <f t="shared" si="4"/>
        <v>10531.725190839694</v>
      </c>
      <c r="AC10" s="472">
        <f t="shared" si="4"/>
        <v>10531.725190839694</v>
      </c>
      <c r="AD10" s="472">
        <f t="shared" si="4"/>
        <v>10531.725190839694</v>
      </c>
      <c r="AE10" s="472">
        <f t="shared" si="4"/>
        <v>10531.725190839694</v>
      </c>
      <c r="AF10" s="472">
        <f t="shared" si="4"/>
        <v>10531.725190839694</v>
      </c>
      <c r="AG10" s="472">
        <f t="shared" si="4"/>
        <v>10531.725190839694</v>
      </c>
      <c r="AH10" s="472">
        <f t="shared" si="4"/>
        <v>10531.725190839694</v>
      </c>
      <c r="AI10" s="472">
        <f t="shared" si="4"/>
        <v>10531.725190839694</v>
      </c>
      <c r="AJ10" s="472">
        <f t="shared" si="4"/>
        <v>10531.725190839694</v>
      </c>
      <c r="AK10" s="472">
        <f t="shared" si="5"/>
        <v>115848.97709923665</v>
      </c>
    </row>
    <row r="11" spans="1:37">
      <c r="B11" s="750" t="s">
        <v>338</v>
      </c>
      <c r="C11" s="754" t="s">
        <v>32</v>
      </c>
      <c r="D11" s="752">
        <v>1</v>
      </c>
      <c r="E11" s="753">
        <v>25000</v>
      </c>
      <c r="F11" s="458">
        <f>+E11*0.05*D11</f>
        <v>1250</v>
      </c>
      <c r="G11" s="458">
        <f>IF(E11&gt;14999,1163,0)*D11</f>
        <v>1163</v>
      </c>
      <c r="H11" s="458">
        <f>+E11*0.0833*D11</f>
        <v>2082.5</v>
      </c>
      <c r="I11" s="458">
        <f>+E11*0.01*D11</f>
        <v>250</v>
      </c>
      <c r="J11" s="458">
        <f>+E11*0.047*D11</f>
        <v>1175</v>
      </c>
      <c r="K11" s="460">
        <f t="shared" ref="K11" si="20">SUM(F11:J11)</f>
        <v>5920.5</v>
      </c>
      <c r="L11" s="460">
        <f t="shared" si="10"/>
        <v>30920.5</v>
      </c>
      <c r="M11" s="460"/>
      <c r="N11" s="458"/>
      <c r="O11" s="458">
        <f t="shared" si="11"/>
        <v>30920.5</v>
      </c>
      <c r="P11" s="467">
        <f t="shared" si="18"/>
        <v>9441.3740458015254</v>
      </c>
      <c r="Q11" s="756">
        <v>0</v>
      </c>
      <c r="S11" s="472">
        <f t="shared" si="4"/>
        <v>0</v>
      </c>
      <c r="T11" s="472">
        <f t="shared" si="4"/>
        <v>0</v>
      </c>
      <c r="U11" s="472">
        <f t="shared" si="4"/>
        <v>0</v>
      </c>
      <c r="V11" s="472">
        <f t="shared" si="4"/>
        <v>0</v>
      </c>
      <c r="W11" s="472">
        <f t="shared" si="4"/>
        <v>0</v>
      </c>
      <c r="X11" s="472">
        <f t="shared" si="4"/>
        <v>0</v>
      </c>
      <c r="Y11" s="472">
        <f t="shared" si="4"/>
        <v>0</v>
      </c>
      <c r="Z11" s="472">
        <f t="shared" si="4"/>
        <v>0</v>
      </c>
      <c r="AA11" s="472">
        <f t="shared" si="4"/>
        <v>0</v>
      </c>
      <c r="AB11" s="472">
        <f t="shared" si="4"/>
        <v>0</v>
      </c>
      <c r="AC11" s="472">
        <f t="shared" si="4"/>
        <v>0</v>
      </c>
      <c r="AD11" s="472">
        <f t="shared" si="4"/>
        <v>0</v>
      </c>
      <c r="AE11" s="472">
        <f t="shared" si="4"/>
        <v>0</v>
      </c>
      <c r="AF11" s="472">
        <f t="shared" si="4"/>
        <v>0</v>
      </c>
      <c r="AG11" s="472">
        <f t="shared" si="4"/>
        <v>0</v>
      </c>
      <c r="AH11" s="472">
        <f t="shared" si="4"/>
        <v>0</v>
      </c>
      <c r="AI11" s="472">
        <f t="shared" si="4"/>
        <v>0</v>
      </c>
      <c r="AJ11" s="472">
        <f t="shared" si="4"/>
        <v>0</v>
      </c>
      <c r="AK11" s="472">
        <f t="shared" si="5"/>
        <v>0</v>
      </c>
    </row>
    <row r="12" spans="1:37">
      <c r="B12" s="750" t="s">
        <v>338</v>
      </c>
      <c r="C12" s="754" t="s">
        <v>32</v>
      </c>
      <c r="D12" s="752">
        <v>1</v>
      </c>
      <c r="E12" s="753">
        <v>22000</v>
      </c>
      <c r="F12" s="458">
        <f t="shared" si="13"/>
        <v>1100</v>
      </c>
      <c r="G12" s="458">
        <f t="shared" si="7"/>
        <v>1163</v>
      </c>
      <c r="H12" s="458">
        <f t="shared" si="14"/>
        <v>1832.6</v>
      </c>
      <c r="I12" s="458">
        <f t="shared" si="15"/>
        <v>220</v>
      </c>
      <c r="J12" s="458">
        <f t="shared" si="16"/>
        <v>1034</v>
      </c>
      <c r="K12" s="460">
        <f t="shared" si="17"/>
        <v>5349.6</v>
      </c>
      <c r="L12" s="460">
        <f t="shared" si="10"/>
        <v>27349.599999999999</v>
      </c>
      <c r="M12" s="460"/>
      <c r="N12" s="458"/>
      <c r="O12" s="458">
        <f t="shared" si="11"/>
        <v>27349.599999999999</v>
      </c>
      <c r="P12" s="467">
        <f t="shared" si="18"/>
        <v>8351.022900763357</v>
      </c>
      <c r="Q12" s="756">
        <v>0</v>
      </c>
      <c r="S12" s="472">
        <f t="shared" si="4"/>
        <v>0</v>
      </c>
      <c r="T12" s="472">
        <f t="shared" si="4"/>
        <v>0</v>
      </c>
      <c r="U12" s="472">
        <f t="shared" si="4"/>
        <v>0</v>
      </c>
      <c r="V12" s="472">
        <f t="shared" si="4"/>
        <v>0</v>
      </c>
      <c r="W12" s="472">
        <f t="shared" si="4"/>
        <v>0</v>
      </c>
      <c r="X12" s="472">
        <f t="shared" si="4"/>
        <v>0</v>
      </c>
      <c r="Y12" s="472">
        <f t="shared" si="4"/>
        <v>0</v>
      </c>
      <c r="Z12" s="472">
        <f t="shared" si="4"/>
        <v>0</v>
      </c>
      <c r="AA12" s="472">
        <f t="shared" si="4"/>
        <v>0</v>
      </c>
      <c r="AB12" s="472">
        <f t="shared" si="4"/>
        <v>0</v>
      </c>
      <c r="AC12" s="472">
        <f t="shared" si="4"/>
        <v>0</v>
      </c>
      <c r="AD12" s="472">
        <f t="shared" si="4"/>
        <v>0</v>
      </c>
      <c r="AE12" s="472">
        <f t="shared" si="4"/>
        <v>0</v>
      </c>
      <c r="AF12" s="472">
        <f t="shared" si="4"/>
        <v>0</v>
      </c>
      <c r="AG12" s="472">
        <f t="shared" si="4"/>
        <v>0</v>
      </c>
      <c r="AH12" s="472">
        <f t="shared" si="4"/>
        <v>0</v>
      </c>
      <c r="AI12" s="472">
        <f t="shared" si="4"/>
        <v>0</v>
      </c>
      <c r="AJ12" s="472">
        <f t="shared" si="4"/>
        <v>0</v>
      </c>
      <c r="AK12" s="472">
        <f t="shared" si="5"/>
        <v>0</v>
      </c>
    </row>
    <row r="13" spans="1:37">
      <c r="B13" s="750" t="s">
        <v>338</v>
      </c>
      <c r="C13" s="754" t="s">
        <v>32</v>
      </c>
      <c r="D13" s="752">
        <v>1</v>
      </c>
      <c r="E13" s="753">
        <v>22000</v>
      </c>
      <c r="F13" s="458">
        <f>+E13*0.05*D13</f>
        <v>1100</v>
      </c>
      <c r="G13" s="458">
        <f>IF(E13&gt;14999,1163,0)*D13</f>
        <v>1163</v>
      </c>
      <c r="H13" s="458">
        <f>+E13*0.0833*D13</f>
        <v>1832.6</v>
      </c>
      <c r="I13" s="458">
        <f>+E13*0.01*D13</f>
        <v>220</v>
      </c>
      <c r="J13" s="458">
        <f>+E13*0.047*D13</f>
        <v>1034</v>
      </c>
      <c r="K13" s="460">
        <f t="shared" ref="K13" si="21">SUM(F13:J13)</f>
        <v>5349.6</v>
      </c>
      <c r="L13" s="460">
        <f t="shared" si="10"/>
        <v>27349.599999999999</v>
      </c>
      <c r="M13" s="460"/>
      <c r="N13" s="458"/>
      <c r="O13" s="458">
        <f t="shared" si="11"/>
        <v>27349.599999999999</v>
      </c>
      <c r="P13" s="467">
        <f t="shared" ref="P13" si="22">+O13/$P$3</f>
        <v>8351.022900763357</v>
      </c>
      <c r="Q13" s="756">
        <v>0</v>
      </c>
      <c r="S13" s="472">
        <f t="shared" si="4"/>
        <v>0</v>
      </c>
      <c r="T13" s="472">
        <f t="shared" si="4"/>
        <v>0</v>
      </c>
      <c r="U13" s="472">
        <f t="shared" si="4"/>
        <v>0</v>
      </c>
      <c r="V13" s="472">
        <f t="shared" si="4"/>
        <v>0</v>
      </c>
      <c r="W13" s="472">
        <f t="shared" si="4"/>
        <v>0</v>
      </c>
      <c r="X13" s="472">
        <f t="shared" si="4"/>
        <v>0</v>
      </c>
      <c r="Y13" s="472">
        <f t="shared" si="4"/>
        <v>0</v>
      </c>
      <c r="Z13" s="472">
        <f t="shared" si="4"/>
        <v>0</v>
      </c>
      <c r="AA13" s="472">
        <f t="shared" si="4"/>
        <v>0</v>
      </c>
      <c r="AB13" s="472">
        <f t="shared" si="4"/>
        <v>0</v>
      </c>
      <c r="AC13" s="472">
        <f t="shared" si="4"/>
        <v>0</v>
      </c>
      <c r="AD13" s="472">
        <f t="shared" si="4"/>
        <v>0</v>
      </c>
      <c r="AE13" s="472">
        <f t="shared" si="4"/>
        <v>0</v>
      </c>
      <c r="AF13" s="472">
        <f t="shared" si="4"/>
        <v>0</v>
      </c>
      <c r="AG13" s="472">
        <f t="shared" si="4"/>
        <v>0</v>
      </c>
      <c r="AH13" s="472">
        <f t="shared" si="4"/>
        <v>0</v>
      </c>
      <c r="AI13" s="472">
        <f t="shared" si="4"/>
        <v>0</v>
      </c>
      <c r="AJ13" s="472">
        <f t="shared" si="4"/>
        <v>0</v>
      </c>
      <c r="AK13" s="472">
        <f t="shared" si="5"/>
        <v>0</v>
      </c>
    </row>
    <row r="14" spans="1:37">
      <c r="B14" s="750"/>
      <c r="C14" s="754" t="s">
        <v>32</v>
      </c>
      <c r="D14" s="752"/>
      <c r="E14" s="753"/>
      <c r="F14" s="458"/>
      <c r="G14" s="458"/>
      <c r="H14" s="458"/>
      <c r="I14" s="458"/>
      <c r="J14" s="458"/>
      <c r="K14" s="460"/>
      <c r="L14" s="460"/>
      <c r="M14" s="460"/>
      <c r="N14" s="458"/>
      <c r="O14" s="458"/>
      <c r="P14" s="467"/>
      <c r="Q14" s="756"/>
      <c r="S14" s="472">
        <f t="shared" si="4"/>
        <v>0</v>
      </c>
      <c r="T14" s="472">
        <f t="shared" si="4"/>
        <v>0</v>
      </c>
      <c r="U14" s="472">
        <f t="shared" si="4"/>
        <v>0</v>
      </c>
      <c r="V14" s="472">
        <f t="shared" si="4"/>
        <v>0</v>
      </c>
      <c r="W14" s="472">
        <f t="shared" si="4"/>
        <v>0</v>
      </c>
      <c r="X14" s="472">
        <f t="shared" si="4"/>
        <v>0</v>
      </c>
      <c r="Y14" s="472">
        <f t="shared" si="4"/>
        <v>0</v>
      </c>
      <c r="Z14" s="472">
        <f t="shared" si="4"/>
        <v>0</v>
      </c>
      <c r="AA14" s="472">
        <f t="shared" si="4"/>
        <v>0</v>
      </c>
      <c r="AB14" s="472">
        <f t="shared" si="4"/>
        <v>0</v>
      </c>
      <c r="AC14" s="472">
        <f t="shared" si="4"/>
        <v>0</v>
      </c>
      <c r="AD14" s="472">
        <f t="shared" si="4"/>
        <v>0</v>
      </c>
      <c r="AE14" s="472">
        <f t="shared" si="4"/>
        <v>0</v>
      </c>
      <c r="AF14" s="472">
        <f t="shared" si="4"/>
        <v>0</v>
      </c>
      <c r="AG14" s="472">
        <f t="shared" si="4"/>
        <v>0</v>
      </c>
      <c r="AH14" s="472">
        <f t="shared" si="4"/>
        <v>0</v>
      </c>
      <c r="AI14" s="472">
        <f t="shared" si="4"/>
        <v>0</v>
      </c>
      <c r="AJ14" s="472">
        <f t="shared" si="4"/>
        <v>0</v>
      </c>
      <c r="AK14" s="472">
        <f t="shared" si="5"/>
        <v>0</v>
      </c>
    </row>
    <row r="15" spans="1:37">
      <c r="B15" s="750" t="s">
        <v>370</v>
      </c>
      <c r="C15" s="755" t="s">
        <v>335</v>
      </c>
      <c r="D15" s="752">
        <v>1</v>
      </c>
      <c r="E15" s="753">
        <v>11000</v>
      </c>
      <c r="F15" s="458">
        <f t="shared" si="6"/>
        <v>550</v>
      </c>
      <c r="G15" s="458">
        <f t="shared" si="7"/>
        <v>0</v>
      </c>
      <c r="H15" s="458">
        <f t="shared" si="8"/>
        <v>916.3</v>
      </c>
      <c r="I15" s="458">
        <f t="shared" si="0"/>
        <v>110</v>
      </c>
      <c r="J15" s="458">
        <f t="shared" si="9"/>
        <v>517</v>
      </c>
      <c r="K15" s="460">
        <f t="shared" si="1"/>
        <v>2093.3000000000002</v>
      </c>
      <c r="L15" s="460">
        <f t="shared" si="10"/>
        <v>13093.3</v>
      </c>
      <c r="M15" s="460"/>
      <c r="N15" s="458"/>
      <c r="O15" s="458">
        <f>+N15+M15+L15</f>
        <v>13093.3</v>
      </c>
      <c r="P15" s="467">
        <f t="shared" si="12"/>
        <v>3997.9541984732818</v>
      </c>
      <c r="Q15" s="756">
        <v>12</v>
      </c>
      <c r="S15" s="472">
        <f t="shared" si="4"/>
        <v>0</v>
      </c>
      <c r="T15" s="472">
        <f t="shared" si="4"/>
        <v>0</v>
      </c>
      <c r="U15" s="472">
        <f t="shared" si="4"/>
        <v>0</v>
      </c>
      <c r="V15" s="472">
        <f t="shared" si="4"/>
        <v>0</v>
      </c>
      <c r="W15" s="472">
        <f t="shared" si="4"/>
        <v>0</v>
      </c>
      <c r="X15" s="472">
        <f t="shared" si="4"/>
        <v>0</v>
      </c>
      <c r="Y15" s="472">
        <f t="shared" si="4"/>
        <v>0</v>
      </c>
      <c r="Z15" s="472">
        <f t="shared" si="4"/>
        <v>0</v>
      </c>
      <c r="AA15" s="472">
        <f t="shared" si="4"/>
        <v>0</v>
      </c>
      <c r="AB15" s="472">
        <f t="shared" si="4"/>
        <v>0</v>
      </c>
      <c r="AC15" s="472">
        <f t="shared" si="4"/>
        <v>0</v>
      </c>
      <c r="AD15" s="472">
        <f t="shared" si="4"/>
        <v>3997.9541984732818</v>
      </c>
      <c r="AE15" s="472">
        <f t="shared" si="4"/>
        <v>3997.9541984732818</v>
      </c>
      <c r="AF15" s="472">
        <f t="shared" si="4"/>
        <v>3997.9541984732818</v>
      </c>
      <c r="AG15" s="472">
        <f t="shared" si="4"/>
        <v>3997.9541984732818</v>
      </c>
      <c r="AH15" s="472">
        <f t="shared" si="4"/>
        <v>3997.9541984732818</v>
      </c>
      <c r="AI15" s="472">
        <f t="shared" si="4"/>
        <v>3997.9541984732818</v>
      </c>
      <c r="AJ15" s="472">
        <f t="shared" si="4"/>
        <v>3997.9541984732818</v>
      </c>
      <c r="AK15" s="472">
        <f t="shared" si="5"/>
        <v>27985.679389312972</v>
      </c>
    </row>
    <row r="16" spans="1:37">
      <c r="B16" s="750" t="s">
        <v>371</v>
      </c>
      <c r="C16" s="755" t="s">
        <v>335</v>
      </c>
      <c r="D16" s="752">
        <v>1</v>
      </c>
      <c r="E16" s="753">
        <v>12500</v>
      </c>
      <c r="F16" s="458">
        <f t="shared" ref="F16" si="23">+E16*0.05</f>
        <v>625</v>
      </c>
      <c r="G16" s="458">
        <f t="shared" ref="G16" si="24">IF(E16&gt;14999,1163,0)</f>
        <v>0</v>
      </c>
      <c r="H16" s="458">
        <f t="shared" ref="H16" si="25">+E16*0.0833</f>
        <v>1041.25</v>
      </c>
      <c r="I16" s="458">
        <f t="shared" ref="I16" si="26">+E16*0.01</f>
        <v>125</v>
      </c>
      <c r="J16" s="458">
        <f t="shared" ref="J16" si="27">+E16*0.047</f>
        <v>587.5</v>
      </c>
      <c r="K16" s="460">
        <f t="shared" ref="K16" si="28">SUM(F16:J16)</f>
        <v>2378.75</v>
      </c>
      <c r="L16" s="460">
        <f t="shared" si="10"/>
        <v>14878.75</v>
      </c>
      <c r="M16" s="460"/>
      <c r="N16" s="458"/>
      <c r="O16" s="458">
        <f>+N16+M16+L16</f>
        <v>14878.75</v>
      </c>
      <c r="P16" s="467">
        <f t="shared" ref="P16" si="29">+O16/$P$3</f>
        <v>4543.1297709923656</v>
      </c>
      <c r="Q16" s="756">
        <v>14</v>
      </c>
      <c r="S16" s="472">
        <f t="shared" si="4"/>
        <v>0</v>
      </c>
      <c r="T16" s="472">
        <f t="shared" si="4"/>
        <v>0</v>
      </c>
      <c r="U16" s="472">
        <f t="shared" si="4"/>
        <v>0</v>
      </c>
      <c r="V16" s="472">
        <f t="shared" si="4"/>
        <v>0</v>
      </c>
      <c r="W16" s="472">
        <f t="shared" si="4"/>
        <v>0</v>
      </c>
      <c r="X16" s="472">
        <f t="shared" si="4"/>
        <v>0</v>
      </c>
      <c r="Y16" s="472">
        <f t="shared" si="4"/>
        <v>0</v>
      </c>
      <c r="Z16" s="472">
        <f t="shared" si="4"/>
        <v>0</v>
      </c>
      <c r="AA16" s="472">
        <f t="shared" si="4"/>
        <v>0</v>
      </c>
      <c r="AB16" s="472">
        <f t="shared" si="4"/>
        <v>0</v>
      </c>
      <c r="AC16" s="472">
        <f t="shared" si="4"/>
        <v>0</v>
      </c>
      <c r="AD16" s="472">
        <f t="shared" si="4"/>
        <v>0</v>
      </c>
      <c r="AE16" s="472">
        <f t="shared" si="4"/>
        <v>0</v>
      </c>
      <c r="AF16" s="472">
        <f t="shared" si="4"/>
        <v>4543.1297709923656</v>
      </c>
      <c r="AG16" s="472">
        <f t="shared" si="4"/>
        <v>4543.1297709923656</v>
      </c>
      <c r="AH16" s="472">
        <f t="shared" si="4"/>
        <v>4543.1297709923656</v>
      </c>
      <c r="AI16" s="472">
        <f t="shared" si="4"/>
        <v>4543.1297709923656</v>
      </c>
      <c r="AJ16" s="472">
        <f t="shared" si="4"/>
        <v>4543.1297709923656</v>
      </c>
      <c r="AK16" s="472">
        <f t="shared" si="5"/>
        <v>22715.64885496183</v>
      </c>
    </row>
    <row r="17" spans="2:37">
      <c r="B17" s="750"/>
      <c r="C17" s="755" t="s">
        <v>335</v>
      </c>
      <c r="D17" s="752"/>
      <c r="E17" s="753"/>
      <c r="F17" s="458"/>
      <c r="G17" s="458"/>
      <c r="H17" s="458"/>
      <c r="I17" s="458"/>
      <c r="J17" s="458"/>
      <c r="K17" s="460"/>
      <c r="L17" s="460"/>
      <c r="M17" s="460"/>
      <c r="N17" s="458"/>
      <c r="O17" s="458"/>
      <c r="P17" s="467"/>
      <c r="Q17" s="756"/>
      <c r="S17" s="472">
        <f t="shared" si="4"/>
        <v>0</v>
      </c>
      <c r="T17" s="472">
        <f t="shared" si="4"/>
        <v>0</v>
      </c>
      <c r="U17" s="472">
        <f t="shared" si="4"/>
        <v>0</v>
      </c>
      <c r="V17" s="472">
        <f t="shared" si="4"/>
        <v>0</v>
      </c>
      <c r="W17" s="472">
        <f t="shared" si="4"/>
        <v>0</v>
      </c>
      <c r="X17" s="472">
        <f t="shared" si="4"/>
        <v>0</v>
      </c>
      <c r="Y17" s="472">
        <f t="shared" si="4"/>
        <v>0</v>
      </c>
      <c r="Z17" s="472">
        <f t="shared" si="4"/>
        <v>0</v>
      </c>
      <c r="AA17" s="472">
        <f t="shared" si="4"/>
        <v>0</v>
      </c>
      <c r="AB17" s="472">
        <f t="shared" si="4"/>
        <v>0</v>
      </c>
      <c r="AC17" s="472">
        <f t="shared" si="4"/>
        <v>0</v>
      </c>
      <c r="AD17" s="472">
        <f t="shared" si="4"/>
        <v>0</v>
      </c>
      <c r="AE17" s="472">
        <f t="shared" si="4"/>
        <v>0</v>
      </c>
      <c r="AF17" s="472">
        <f t="shared" si="4"/>
        <v>0</v>
      </c>
      <c r="AG17" s="472">
        <f t="shared" si="4"/>
        <v>0</v>
      </c>
      <c r="AH17" s="472">
        <f t="shared" si="4"/>
        <v>0</v>
      </c>
      <c r="AI17" s="472">
        <f t="shared" si="4"/>
        <v>0</v>
      </c>
      <c r="AJ17" s="472">
        <f t="shared" si="4"/>
        <v>0</v>
      </c>
      <c r="AK17" s="472">
        <f t="shared" si="5"/>
        <v>0</v>
      </c>
    </row>
    <row r="18" spans="2:37" ht="33" customHeight="1">
      <c r="B18" s="750" t="s">
        <v>331</v>
      </c>
      <c r="C18" s="751" t="s">
        <v>334</v>
      </c>
      <c r="D18" s="752">
        <v>1</v>
      </c>
      <c r="E18" s="753">
        <v>20000</v>
      </c>
      <c r="F18" s="458">
        <f t="shared" si="6"/>
        <v>1000</v>
      </c>
      <c r="G18" s="458">
        <f t="shared" si="7"/>
        <v>1163</v>
      </c>
      <c r="H18" s="458">
        <f t="shared" si="8"/>
        <v>1666</v>
      </c>
      <c r="I18" s="458">
        <f t="shared" si="0"/>
        <v>200</v>
      </c>
      <c r="J18" s="458">
        <f t="shared" si="9"/>
        <v>940</v>
      </c>
      <c r="K18" s="460">
        <f t="shared" si="1"/>
        <v>4969</v>
      </c>
      <c r="L18" s="460">
        <f t="shared" si="10"/>
        <v>24969</v>
      </c>
      <c r="M18" s="460"/>
      <c r="N18" s="458">
        <v>1000</v>
      </c>
      <c r="O18" s="458">
        <f t="shared" ref="O18:O22" si="30">+N18+M18+L18</f>
        <v>25969</v>
      </c>
      <c r="P18" s="467">
        <f t="shared" ref="P18:P23" si="31">+O18/$P$3</f>
        <v>7929.4656488549608</v>
      </c>
      <c r="Q18" s="756">
        <v>7</v>
      </c>
      <c r="S18" s="472">
        <f t="shared" si="4"/>
        <v>0</v>
      </c>
      <c r="T18" s="472">
        <f t="shared" si="4"/>
        <v>0</v>
      </c>
      <c r="U18" s="472">
        <f t="shared" si="4"/>
        <v>0</v>
      </c>
      <c r="V18" s="472">
        <f t="shared" si="4"/>
        <v>0</v>
      </c>
      <c r="W18" s="472">
        <f t="shared" si="4"/>
        <v>0</v>
      </c>
      <c r="X18" s="472">
        <f t="shared" si="4"/>
        <v>0</v>
      </c>
      <c r="Y18" s="472">
        <f t="shared" si="4"/>
        <v>7929.4656488549608</v>
      </c>
      <c r="Z18" s="472">
        <f t="shared" si="4"/>
        <v>7929.4656488549608</v>
      </c>
      <c r="AA18" s="472">
        <f t="shared" si="4"/>
        <v>7929.4656488549608</v>
      </c>
      <c r="AB18" s="472">
        <f t="shared" si="4"/>
        <v>7929.4656488549608</v>
      </c>
      <c r="AC18" s="472">
        <f t="shared" si="4"/>
        <v>7929.4656488549608</v>
      </c>
      <c r="AD18" s="472">
        <f t="shared" si="4"/>
        <v>7929.4656488549608</v>
      </c>
      <c r="AE18" s="472">
        <f t="shared" si="4"/>
        <v>7929.4656488549608</v>
      </c>
      <c r="AF18" s="472">
        <f t="shared" si="4"/>
        <v>7929.4656488549608</v>
      </c>
      <c r="AG18" s="472">
        <f t="shared" si="4"/>
        <v>7929.4656488549608</v>
      </c>
      <c r="AH18" s="472">
        <f t="shared" si="4"/>
        <v>7929.4656488549608</v>
      </c>
      <c r="AI18" s="472">
        <f t="shared" si="4"/>
        <v>7929.4656488549608</v>
      </c>
      <c r="AJ18" s="472">
        <f t="shared" si="4"/>
        <v>7929.4656488549608</v>
      </c>
      <c r="AK18" s="472">
        <f t="shared" si="5"/>
        <v>95153.587786259537</v>
      </c>
    </row>
    <row r="19" spans="2:37" ht="18.75" customHeight="1">
      <c r="B19" s="750"/>
      <c r="C19" s="751" t="s">
        <v>334</v>
      </c>
      <c r="D19" s="752">
        <v>1</v>
      </c>
      <c r="E19" s="753">
        <v>14000</v>
      </c>
      <c r="F19" s="458">
        <f t="shared" ref="F19" si="32">+E19*0.05</f>
        <v>700</v>
      </c>
      <c r="G19" s="458">
        <f t="shared" ref="G19" si="33">IF(E19&gt;14999,1163,0)</f>
        <v>0</v>
      </c>
      <c r="H19" s="458">
        <f t="shared" ref="H19" si="34">+E19*0.0833</f>
        <v>1166.2</v>
      </c>
      <c r="I19" s="458">
        <f t="shared" ref="I19" si="35">+E19*0.01</f>
        <v>140</v>
      </c>
      <c r="J19" s="458">
        <f t="shared" ref="J19" si="36">+E19*0.047</f>
        <v>658</v>
      </c>
      <c r="K19" s="460">
        <f t="shared" ref="K19" si="37">SUM(F19:J19)</f>
        <v>2664.2</v>
      </c>
      <c r="L19" s="460">
        <f t="shared" ref="L19" si="38">+E19*D19+K19</f>
        <v>16664.2</v>
      </c>
      <c r="M19" s="460"/>
      <c r="N19" s="458">
        <v>1001</v>
      </c>
      <c r="O19" s="458">
        <f t="shared" si="30"/>
        <v>17665.2</v>
      </c>
      <c r="P19" s="467">
        <f t="shared" si="31"/>
        <v>5393.9541984732823</v>
      </c>
      <c r="Q19" s="756"/>
      <c r="S19" s="472">
        <f t="shared" si="4"/>
        <v>0</v>
      </c>
      <c r="T19" s="472">
        <f t="shared" si="4"/>
        <v>0</v>
      </c>
      <c r="U19" s="472">
        <f t="shared" si="4"/>
        <v>0</v>
      </c>
      <c r="V19" s="472">
        <f t="shared" si="4"/>
        <v>0</v>
      </c>
      <c r="W19" s="472">
        <f t="shared" si="4"/>
        <v>0</v>
      </c>
      <c r="X19" s="472">
        <f t="shared" si="4"/>
        <v>0</v>
      </c>
      <c r="Y19" s="472">
        <f t="shared" si="4"/>
        <v>0</v>
      </c>
      <c r="Z19" s="472">
        <f t="shared" si="4"/>
        <v>0</v>
      </c>
      <c r="AA19" s="472">
        <f t="shared" si="4"/>
        <v>0</v>
      </c>
      <c r="AB19" s="472">
        <f t="shared" si="4"/>
        <v>0</v>
      </c>
      <c r="AC19" s="472">
        <f t="shared" si="4"/>
        <v>0</v>
      </c>
      <c r="AD19" s="472">
        <f t="shared" si="4"/>
        <v>0</v>
      </c>
      <c r="AE19" s="472">
        <f t="shared" si="4"/>
        <v>0</v>
      </c>
      <c r="AF19" s="472">
        <f t="shared" si="4"/>
        <v>0</v>
      </c>
      <c r="AG19" s="472">
        <f t="shared" si="4"/>
        <v>0</v>
      </c>
      <c r="AH19" s="472">
        <f t="shared" si="4"/>
        <v>0</v>
      </c>
      <c r="AI19" s="472">
        <f t="shared" si="4"/>
        <v>0</v>
      </c>
      <c r="AJ19" s="472">
        <f t="shared" si="4"/>
        <v>0</v>
      </c>
      <c r="AK19" s="472">
        <f t="shared" si="5"/>
        <v>0</v>
      </c>
    </row>
    <row r="20" spans="2:37" ht="18.75" customHeight="1">
      <c r="B20" s="750"/>
      <c r="C20" s="751" t="s">
        <v>334</v>
      </c>
      <c r="D20" s="752">
        <v>1</v>
      </c>
      <c r="E20" s="753">
        <v>14000</v>
      </c>
      <c r="F20" s="458">
        <f t="shared" ref="F20" si="39">+E20*0.05</f>
        <v>700</v>
      </c>
      <c r="G20" s="458">
        <f t="shared" ref="G20" si="40">IF(E20&gt;14999,1163,0)</f>
        <v>0</v>
      </c>
      <c r="H20" s="458">
        <f t="shared" ref="H20" si="41">+E20*0.0833</f>
        <v>1166.2</v>
      </c>
      <c r="I20" s="458">
        <f t="shared" ref="I20" si="42">+E20*0.01</f>
        <v>140</v>
      </c>
      <c r="J20" s="458">
        <f t="shared" ref="J20" si="43">+E20*0.047</f>
        <v>658</v>
      </c>
      <c r="K20" s="460">
        <f t="shared" ref="K20" si="44">SUM(F20:J20)</f>
        <v>2664.2</v>
      </c>
      <c r="L20" s="460">
        <f t="shared" ref="L20" si="45">+E20*D20+K20</f>
        <v>16664.2</v>
      </c>
      <c r="M20" s="460"/>
      <c r="N20" s="458">
        <v>1001</v>
      </c>
      <c r="O20" s="458">
        <f t="shared" si="30"/>
        <v>17665.2</v>
      </c>
      <c r="P20" s="467">
        <f t="shared" ref="P20" si="46">+O20/$P$3</f>
        <v>5393.9541984732823</v>
      </c>
      <c r="Q20" s="756"/>
      <c r="S20" s="472">
        <f t="shared" si="4"/>
        <v>0</v>
      </c>
      <c r="T20" s="472">
        <f t="shared" si="4"/>
        <v>0</v>
      </c>
      <c r="U20" s="472">
        <f t="shared" si="4"/>
        <v>0</v>
      </c>
      <c r="V20" s="472">
        <f t="shared" si="4"/>
        <v>0</v>
      </c>
      <c r="W20" s="472">
        <f t="shared" si="4"/>
        <v>0</v>
      </c>
      <c r="X20" s="472">
        <f t="shared" si="4"/>
        <v>0</v>
      </c>
      <c r="Y20" s="472">
        <f t="shared" si="4"/>
        <v>0</v>
      </c>
      <c r="Z20" s="472">
        <f t="shared" si="4"/>
        <v>0</v>
      </c>
      <c r="AA20" s="472">
        <f t="shared" si="4"/>
        <v>0</v>
      </c>
      <c r="AB20" s="472">
        <f t="shared" si="4"/>
        <v>0</v>
      </c>
      <c r="AC20" s="472">
        <f t="shared" si="4"/>
        <v>0</v>
      </c>
      <c r="AD20" s="472">
        <f t="shared" si="4"/>
        <v>0</v>
      </c>
      <c r="AE20" s="472">
        <f t="shared" si="4"/>
        <v>0</v>
      </c>
      <c r="AF20" s="472">
        <f t="shared" si="4"/>
        <v>0</v>
      </c>
      <c r="AG20" s="472">
        <f t="shared" si="4"/>
        <v>0</v>
      </c>
      <c r="AH20" s="472">
        <f t="shared" si="4"/>
        <v>0</v>
      </c>
      <c r="AI20" s="472">
        <f t="shared" si="4"/>
        <v>0</v>
      </c>
      <c r="AJ20" s="472">
        <f t="shared" si="4"/>
        <v>0</v>
      </c>
      <c r="AK20" s="472">
        <f t="shared" si="5"/>
        <v>0</v>
      </c>
    </row>
    <row r="21" spans="2:37" ht="20.25" customHeight="1">
      <c r="B21" s="750"/>
      <c r="C21" s="751" t="s">
        <v>307</v>
      </c>
      <c r="D21" s="752">
        <v>1</v>
      </c>
      <c r="E21" s="753">
        <v>25000</v>
      </c>
      <c r="F21" s="458"/>
      <c r="G21" s="458"/>
      <c r="H21" s="458">
        <f t="shared" ref="H21:H23" si="47">+E21*0.05</f>
        <v>1250</v>
      </c>
      <c r="I21" s="458"/>
      <c r="J21" s="458">
        <f t="shared" si="9"/>
        <v>1175</v>
      </c>
      <c r="K21" s="460">
        <f t="shared" si="1"/>
        <v>2425</v>
      </c>
      <c r="L21" s="460">
        <f t="shared" si="10"/>
        <v>27425</v>
      </c>
      <c r="M21" s="460"/>
      <c r="N21" s="458">
        <v>2500</v>
      </c>
      <c r="O21" s="458">
        <f t="shared" si="30"/>
        <v>29925</v>
      </c>
      <c r="P21" s="467">
        <f t="shared" si="31"/>
        <v>9137.40458015267</v>
      </c>
      <c r="Q21" s="756"/>
      <c r="S21" s="472">
        <f t="shared" si="4"/>
        <v>0</v>
      </c>
      <c r="T21" s="472">
        <f t="shared" si="4"/>
        <v>0</v>
      </c>
      <c r="U21" s="472">
        <f t="shared" si="4"/>
        <v>0</v>
      </c>
      <c r="V21" s="472">
        <f t="shared" ref="V21:AJ21" si="48">IF($Q21=0,0,IF(V$4&gt;=$Q21,$P21,0))</f>
        <v>0</v>
      </c>
      <c r="W21" s="472">
        <f t="shared" si="48"/>
        <v>0</v>
      </c>
      <c r="X21" s="472">
        <f t="shared" si="48"/>
        <v>0</v>
      </c>
      <c r="Y21" s="472">
        <f t="shared" si="48"/>
        <v>0</v>
      </c>
      <c r="Z21" s="472">
        <f t="shared" si="48"/>
        <v>0</v>
      </c>
      <c r="AA21" s="472">
        <f t="shared" si="48"/>
        <v>0</v>
      </c>
      <c r="AB21" s="472">
        <f t="shared" si="48"/>
        <v>0</v>
      </c>
      <c r="AC21" s="472">
        <f t="shared" si="48"/>
        <v>0</v>
      </c>
      <c r="AD21" s="472">
        <f t="shared" si="48"/>
        <v>0</v>
      </c>
      <c r="AE21" s="472">
        <f t="shared" si="48"/>
        <v>0</v>
      </c>
      <c r="AF21" s="472">
        <f t="shared" si="48"/>
        <v>0</v>
      </c>
      <c r="AG21" s="472">
        <f t="shared" si="48"/>
        <v>0</v>
      </c>
      <c r="AH21" s="472">
        <f t="shared" si="48"/>
        <v>0</v>
      </c>
      <c r="AI21" s="472">
        <f t="shared" si="48"/>
        <v>0</v>
      </c>
      <c r="AJ21" s="472">
        <f t="shared" si="48"/>
        <v>0</v>
      </c>
      <c r="AK21" s="472">
        <f t="shared" si="5"/>
        <v>0</v>
      </c>
    </row>
    <row r="22" spans="2:37" ht="20.25" customHeight="1">
      <c r="B22" s="750"/>
      <c r="C22" s="751"/>
      <c r="D22" s="752"/>
      <c r="E22" s="753"/>
      <c r="F22" s="458"/>
      <c r="G22" s="458"/>
      <c r="H22" s="458">
        <f t="shared" ref="H22" si="49">+E22*0.05</f>
        <v>0</v>
      </c>
      <c r="I22" s="458"/>
      <c r="J22" s="458">
        <f t="shared" ref="J22" si="50">+E22*0.047</f>
        <v>0</v>
      </c>
      <c r="K22" s="460">
        <f t="shared" ref="K22" si="51">SUM(F22:J22)</f>
        <v>0</v>
      </c>
      <c r="L22" s="460">
        <f t="shared" ref="L22" si="52">+E22*D22+K22</f>
        <v>0</v>
      </c>
      <c r="M22" s="460"/>
      <c r="N22" s="458">
        <v>1500</v>
      </c>
      <c r="O22" s="458">
        <f t="shared" si="30"/>
        <v>1500</v>
      </c>
      <c r="P22" s="467">
        <f t="shared" ref="P22" si="53">+O22/$P$3</f>
        <v>458.01526717557249</v>
      </c>
      <c r="Q22" s="756"/>
      <c r="S22" s="472">
        <f t="shared" ref="S22:AJ23" si="54">IF($Q22=0,0,IF(S$4&gt;=$Q22,$P22,0))</f>
        <v>0</v>
      </c>
      <c r="T22" s="472">
        <f t="shared" si="54"/>
        <v>0</v>
      </c>
      <c r="U22" s="472">
        <f t="shared" si="54"/>
        <v>0</v>
      </c>
      <c r="V22" s="472">
        <f t="shared" si="54"/>
        <v>0</v>
      </c>
      <c r="W22" s="472">
        <f t="shared" si="54"/>
        <v>0</v>
      </c>
      <c r="X22" s="472">
        <f t="shared" si="54"/>
        <v>0</v>
      </c>
      <c r="Y22" s="472">
        <f t="shared" si="54"/>
        <v>0</v>
      </c>
      <c r="Z22" s="472">
        <f t="shared" si="54"/>
        <v>0</v>
      </c>
      <c r="AA22" s="472">
        <f t="shared" si="54"/>
        <v>0</v>
      </c>
      <c r="AB22" s="472">
        <f t="shared" si="54"/>
        <v>0</v>
      </c>
      <c r="AC22" s="472">
        <f t="shared" si="54"/>
        <v>0</v>
      </c>
      <c r="AD22" s="472">
        <f t="shared" si="54"/>
        <v>0</v>
      </c>
      <c r="AE22" s="472">
        <f t="shared" si="54"/>
        <v>0</v>
      </c>
      <c r="AF22" s="472">
        <f t="shared" si="54"/>
        <v>0</v>
      </c>
      <c r="AG22" s="472">
        <f t="shared" si="54"/>
        <v>0</v>
      </c>
      <c r="AH22" s="472">
        <f t="shared" si="54"/>
        <v>0</v>
      </c>
      <c r="AI22" s="472">
        <f t="shared" si="54"/>
        <v>0</v>
      </c>
      <c r="AJ22" s="472">
        <f t="shared" si="54"/>
        <v>0</v>
      </c>
      <c r="AK22" s="472">
        <f t="shared" si="5"/>
        <v>0</v>
      </c>
    </row>
    <row r="23" spans="2:37" ht="20.25" customHeight="1" thickBot="1">
      <c r="B23" s="750"/>
      <c r="C23" s="751"/>
      <c r="D23" s="752"/>
      <c r="E23" s="753"/>
      <c r="F23" s="458"/>
      <c r="G23" s="458"/>
      <c r="H23" s="458">
        <f t="shared" si="47"/>
        <v>0</v>
      </c>
      <c r="I23" s="458"/>
      <c r="J23" s="458">
        <f t="shared" ref="J23" si="55">+E23*0.047</f>
        <v>0</v>
      </c>
      <c r="K23" s="460">
        <f t="shared" ref="K23" si="56">SUM(F23:J23)</f>
        <v>0</v>
      </c>
      <c r="L23" s="460">
        <f t="shared" si="10"/>
        <v>0</v>
      </c>
      <c r="M23" s="460"/>
      <c r="N23" s="458">
        <v>1000</v>
      </c>
      <c r="O23" s="458">
        <f>+N23+M23+L23</f>
        <v>1000</v>
      </c>
      <c r="P23" s="467">
        <f t="shared" si="31"/>
        <v>305.34351145038164</v>
      </c>
      <c r="Q23" s="756"/>
      <c r="S23" s="472">
        <f t="shared" si="54"/>
        <v>0</v>
      </c>
      <c r="T23" s="472">
        <f t="shared" si="54"/>
        <v>0</v>
      </c>
      <c r="U23" s="472">
        <f t="shared" si="54"/>
        <v>0</v>
      </c>
      <c r="V23" s="472">
        <f t="shared" si="54"/>
        <v>0</v>
      </c>
      <c r="W23" s="472">
        <f t="shared" si="54"/>
        <v>0</v>
      </c>
      <c r="X23" s="472">
        <f t="shared" si="54"/>
        <v>0</v>
      </c>
      <c r="Y23" s="472">
        <f t="shared" si="54"/>
        <v>0</v>
      </c>
      <c r="Z23" s="472">
        <f t="shared" si="54"/>
        <v>0</v>
      </c>
      <c r="AA23" s="472">
        <f t="shared" si="54"/>
        <v>0</v>
      </c>
      <c r="AB23" s="472">
        <f t="shared" si="54"/>
        <v>0</v>
      </c>
      <c r="AC23" s="472">
        <f t="shared" si="54"/>
        <v>0</v>
      </c>
      <c r="AD23" s="472">
        <f t="shared" si="54"/>
        <v>0</v>
      </c>
      <c r="AE23" s="472">
        <f t="shared" si="54"/>
        <v>0</v>
      </c>
      <c r="AF23" s="472">
        <f t="shared" si="54"/>
        <v>0</v>
      </c>
      <c r="AG23" s="472">
        <f t="shared" si="54"/>
        <v>0</v>
      </c>
      <c r="AH23" s="472">
        <f t="shared" si="54"/>
        <v>0</v>
      </c>
      <c r="AI23" s="472">
        <f t="shared" si="54"/>
        <v>0</v>
      </c>
      <c r="AJ23" s="472">
        <f t="shared" si="54"/>
        <v>0</v>
      </c>
      <c r="AK23" s="472">
        <f t="shared" si="5"/>
        <v>0</v>
      </c>
    </row>
    <row r="24" spans="2:37" ht="20.25" hidden="1" customHeight="1" thickBot="1">
      <c r="B24" s="486"/>
      <c r="C24" s="477"/>
      <c r="D24" s="459"/>
      <c r="E24" s="458"/>
      <c r="F24" s="458"/>
      <c r="G24" s="458"/>
      <c r="H24" s="458"/>
      <c r="I24" s="458"/>
      <c r="J24" s="458"/>
      <c r="K24" s="460"/>
      <c r="L24" s="460"/>
      <c r="M24" s="460"/>
      <c r="N24" s="458"/>
      <c r="O24" s="458"/>
      <c r="P24" s="467"/>
      <c r="Q24" s="467"/>
      <c r="S24" s="475"/>
      <c r="T24" s="472">
        <f t="shared" ref="T24:T25" si="57">+S24</f>
        <v>0</v>
      </c>
      <c r="U24" s="475"/>
      <c r="V24" s="475"/>
      <c r="W24" s="475"/>
      <c r="Y24" s="475"/>
      <c r="Z24" s="475"/>
      <c r="AA24" s="475"/>
      <c r="AB24" s="475"/>
      <c r="AC24" s="475"/>
      <c r="AD24" s="481"/>
    </row>
    <row r="25" spans="2:37" ht="20.25" hidden="1" customHeight="1" thickBot="1">
      <c r="B25" s="486"/>
      <c r="C25" s="477"/>
      <c r="D25" s="459"/>
      <c r="E25" s="458"/>
      <c r="F25" s="458"/>
      <c r="G25" s="458"/>
      <c r="H25" s="458"/>
      <c r="I25" s="458"/>
      <c r="J25" s="458"/>
      <c r="K25" s="460"/>
      <c r="L25" s="460"/>
      <c r="M25" s="460"/>
      <c r="N25" s="458"/>
      <c r="O25" s="458"/>
      <c r="P25" s="467"/>
      <c r="Q25" s="467"/>
      <c r="S25" s="475"/>
      <c r="T25" s="472">
        <f t="shared" si="57"/>
        <v>0</v>
      </c>
      <c r="U25" s="475"/>
      <c r="V25" s="475"/>
      <c r="W25" s="475"/>
      <c r="Y25" s="475"/>
      <c r="Z25" s="475"/>
      <c r="AA25" s="475"/>
      <c r="AB25" s="475"/>
      <c r="AC25" s="475"/>
      <c r="AD25" s="481"/>
    </row>
    <row r="26" spans="2:37" ht="13.5" thickBot="1">
      <c r="B26" s="463" t="s">
        <v>23</v>
      </c>
      <c r="C26" s="482"/>
      <c r="D26" s="464"/>
      <c r="E26" s="465">
        <f>SUM(E3:E25)</f>
        <v>306500</v>
      </c>
      <c r="F26" s="466">
        <f t="shared" ref="F26:P26" si="58">SUM(F6:F25)</f>
        <v>14075</v>
      </c>
      <c r="G26" s="466">
        <f t="shared" si="58"/>
        <v>10467</v>
      </c>
      <c r="H26" s="466">
        <f t="shared" si="58"/>
        <v>24698.95</v>
      </c>
      <c r="I26" s="466">
        <f t="shared" si="58"/>
        <v>2815</v>
      </c>
      <c r="J26" s="466">
        <f t="shared" si="58"/>
        <v>14405.5</v>
      </c>
      <c r="K26" s="466">
        <f t="shared" si="58"/>
        <v>66461.45</v>
      </c>
      <c r="L26" s="466">
        <f t="shared" si="58"/>
        <v>372961.45</v>
      </c>
      <c r="M26" s="466">
        <f t="shared" si="58"/>
        <v>0</v>
      </c>
      <c r="N26" s="466">
        <f t="shared" si="58"/>
        <v>8002</v>
      </c>
      <c r="O26" s="466">
        <f t="shared" si="58"/>
        <v>380963.45</v>
      </c>
      <c r="P26" s="470">
        <f t="shared" si="58"/>
        <v>116324.71755725189</v>
      </c>
      <c r="Q26" s="470"/>
      <c r="S26" s="473">
        <f>SUM(S6:S25)</f>
        <v>22517.251908396946</v>
      </c>
      <c r="T26" s="473">
        <f t="shared" ref="T26:AK26" si="59">SUM(T6:T25)</f>
        <v>22517.251908396946</v>
      </c>
      <c r="U26" s="473">
        <f t="shared" si="59"/>
        <v>31958.625954198469</v>
      </c>
      <c r="V26" s="473">
        <f t="shared" si="59"/>
        <v>31958.625954198469</v>
      </c>
      <c r="W26" s="473">
        <f t="shared" si="59"/>
        <v>31958.625954198469</v>
      </c>
      <c r="X26" s="473">
        <f t="shared" si="59"/>
        <v>42490.351145038163</v>
      </c>
      <c r="Y26" s="473">
        <f t="shared" si="59"/>
        <v>50419.816793893122</v>
      </c>
      <c r="Z26" s="473">
        <f t="shared" si="59"/>
        <v>60951.541984732816</v>
      </c>
      <c r="AA26" s="473">
        <f t="shared" si="59"/>
        <v>60951.541984732816</v>
      </c>
      <c r="AB26" s="473">
        <f t="shared" si="59"/>
        <v>60951.541984732816</v>
      </c>
      <c r="AC26" s="473">
        <f t="shared" si="59"/>
        <v>60951.541984732816</v>
      </c>
      <c r="AD26" s="473">
        <f t="shared" si="59"/>
        <v>64949.496183206094</v>
      </c>
      <c r="AE26" s="473">
        <f t="shared" si="59"/>
        <v>64949.496183206094</v>
      </c>
      <c r="AF26" s="473">
        <f t="shared" si="59"/>
        <v>69492.625954198462</v>
      </c>
      <c r="AG26" s="473">
        <f t="shared" si="59"/>
        <v>69492.625954198462</v>
      </c>
      <c r="AH26" s="473">
        <f t="shared" si="59"/>
        <v>69492.625954198462</v>
      </c>
      <c r="AI26" s="473">
        <f t="shared" si="59"/>
        <v>69492.625954198462</v>
      </c>
      <c r="AJ26" s="473">
        <f t="shared" si="59"/>
        <v>69492.625954198462</v>
      </c>
      <c r="AK26" s="473">
        <f t="shared" si="59"/>
        <v>954988.83969465666</v>
      </c>
    </row>
    <row r="27" spans="2:37">
      <c r="D27" s="491"/>
      <c r="S27" s="441"/>
      <c r="W27" s="490"/>
      <c r="Y27" s="474"/>
      <c r="Z27" s="474"/>
      <c r="AA27" s="474"/>
      <c r="AB27" s="474"/>
      <c r="AC27" s="474"/>
      <c r="AD27" s="474"/>
    </row>
    <row r="28" spans="2:37">
      <c r="S28" s="441"/>
    </row>
  </sheetData>
  <sheetProtection sheet="1" objects="1" scenarios="1"/>
  <mergeCells count="3">
    <mergeCell ref="S3:AD3"/>
    <mergeCell ref="AE3:AJ3"/>
    <mergeCell ref="C1:AK1"/>
  </mergeCells>
  <phoneticPr fontId="26" type="noConversion"/>
  <pageMargins left="0.75" right="0.75" top="1" bottom="1" header="0.5" footer="0.5"/>
  <pageSetup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F319-C226-49E8-8EC3-E66C78EE2A2E}">
  <sheetPr>
    <tabColor theme="7" tint="0.59999389629810485"/>
    <outlinePr summaryBelow="0" summaryRight="0"/>
  </sheetPr>
  <dimension ref="A1:AM990"/>
  <sheetViews>
    <sheetView zoomScaleNormal="100" workbookViewId="0">
      <selection activeCell="I1" sqref="I1"/>
    </sheetView>
  </sheetViews>
  <sheetFormatPr defaultColWidth="17.28515625" defaultRowHeight="15" customHeight="1" outlineLevelCol="1"/>
  <cols>
    <col min="1" max="1" width="14.28515625" style="597" customWidth="1"/>
    <col min="2" max="2" width="26.85546875" style="597" customWidth="1"/>
    <col min="3" max="3" width="3.42578125" style="597" customWidth="1"/>
    <col min="4" max="11" width="10.42578125" style="597" customWidth="1" outlineLevel="1"/>
    <col min="12" max="15" width="8.140625" style="597" customWidth="1" outlineLevel="1"/>
    <col min="16" max="16" width="5.28515625" style="597" customWidth="1"/>
    <col min="17" max="23" width="10.42578125" style="597" customWidth="1"/>
    <col min="24" max="24" width="25.5703125" style="597" hidden="1" customWidth="1"/>
    <col min="25" max="25" width="12.42578125" style="597" hidden="1" customWidth="1"/>
    <col min="26" max="26" width="36.5703125" style="597" hidden="1" customWidth="1"/>
    <col min="27" max="27" width="6.42578125" style="597" hidden="1" customWidth="1"/>
    <col min="28" max="29" width="0.140625" style="597" hidden="1" customWidth="1"/>
    <col min="30" max="30" width="6.28515625" style="597" customWidth="1"/>
    <col min="31" max="31" width="11.140625" style="597" customWidth="1"/>
    <col min="32" max="32" width="10.5703125" style="597" customWidth="1"/>
    <col min="33" max="33" width="9.7109375" style="597" customWidth="1"/>
    <col min="34" max="39" width="8.7109375" style="597" customWidth="1"/>
    <col min="40" max="16384" width="17.28515625" style="597"/>
  </cols>
  <sheetData>
    <row r="1" spans="1:33" ht="15.75" customHeight="1">
      <c r="A1" s="669" t="s">
        <v>427</v>
      </c>
      <c r="B1" s="669"/>
      <c r="C1" s="669"/>
      <c r="D1" s="669"/>
      <c r="E1" s="669"/>
      <c r="F1" s="669"/>
      <c r="G1" s="669"/>
      <c r="H1" s="669"/>
      <c r="I1" s="600" t="s">
        <v>445</v>
      </c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  <c r="W1" s="669"/>
      <c r="X1" s="594"/>
      <c r="Y1" s="595"/>
      <c r="Z1" s="595"/>
      <c r="AA1" s="596">
        <v>3.24</v>
      </c>
      <c r="AB1" s="595"/>
      <c r="AC1" s="595"/>
      <c r="AE1" s="598" t="s">
        <v>9</v>
      </c>
      <c r="AF1" s="599">
        <f>+Parameters!F4</f>
        <v>3.2750000000000004</v>
      </c>
    </row>
    <row r="2" spans="1:33" ht="15.75" customHeight="1">
      <c r="A2" s="669" t="s">
        <v>428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594"/>
      <c r="Y2" s="595"/>
      <c r="Z2" s="595"/>
      <c r="AA2" s="595"/>
      <c r="AB2" s="595"/>
      <c r="AC2" s="595"/>
      <c r="AD2" s="595"/>
    </row>
    <row r="3" spans="1:33" ht="15.75" customHeight="1" thickBot="1">
      <c r="A3" s="600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594"/>
      <c r="Y3" s="595"/>
      <c r="Z3" s="595"/>
      <c r="AA3" s="595"/>
      <c r="AB3" s="595"/>
      <c r="AC3" s="595"/>
      <c r="AD3" s="595"/>
    </row>
    <row r="4" spans="1:33" ht="13.5" customHeight="1" thickBot="1">
      <c r="A4" s="601"/>
      <c r="B4" s="602"/>
      <c r="C4" s="602"/>
      <c r="D4" s="844" t="s">
        <v>339</v>
      </c>
      <c r="E4" s="845"/>
      <c r="F4" s="845"/>
      <c r="G4" s="845"/>
      <c r="H4" s="845"/>
      <c r="I4" s="845"/>
      <c r="J4" s="845"/>
      <c r="K4" s="846"/>
      <c r="L4" s="844" t="s">
        <v>340</v>
      </c>
      <c r="M4" s="845"/>
      <c r="N4" s="845"/>
      <c r="O4" s="846"/>
      <c r="P4" s="603"/>
      <c r="Q4" s="844" t="s">
        <v>23</v>
      </c>
      <c r="R4" s="845"/>
      <c r="S4" s="845"/>
      <c r="T4" s="845"/>
      <c r="U4" s="845"/>
      <c r="V4" s="845"/>
      <c r="W4" s="846"/>
      <c r="X4" s="594"/>
      <c r="Y4" s="595"/>
      <c r="Z4" s="595"/>
      <c r="AA4" s="595"/>
      <c r="AB4" s="595"/>
      <c r="AC4" s="595"/>
      <c r="AD4" s="595"/>
    </row>
    <row r="5" spans="1:33" ht="13.5" customHeight="1" thickBot="1">
      <c r="A5" s="601"/>
      <c r="B5" s="602"/>
      <c r="C5" s="602"/>
      <c r="D5" s="857" t="s">
        <v>11</v>
      </c>
      <c r="E5" s="850"/>
      <c r="F5" s="849" t="s">
        <v>12</v>
      </c>
      <c r="G5" s="850"/>
      <c r="H5" s="849" t="s">
        <v>13</v>
      </c>
      <c r="I5" s="850"/>
      <c r="J5" s="858" t="s">
        <v>14</v>
      </c>
      <c r="K5" s="859"/>
      <c r="L5" s="857" t="s">
        <v>11</v>
      </c>
      <c r="M5" s="850"/>
      <c r="N5" s="849" t="s">
        <v>12</v>
      </c>
      <c r="O5" s="850"/>
      <c r="P5" s="603"/>
      <c r="Q5" s="851" t="s">
        <v>24</v>
      </c>
      <c r="R5" s="852"/>
      <c r="S5" s="852"/>
      <c r="T5" s="852"/>
      <c r="U5" s="852"/>
      <c r="V5" s="852"/>
      <c r="W5" s="853"/>
      <c r="X5" s="594"/>
      <c r="Y5" s="595"/>
      <c r="Z5" s="595"/>
      <c r="AA5" s="595"/>
      <c r="AB5" s="595"/>
      <c r="AC5" s="595"/>
    </row>
    <row r="6" spans="1:33" ht="27.75" customHeight="1" thickBot="1">
      <c r="A6" s="604"/>
      <c r="B6" s="605" t="s">
        <v>193</v>
      </c>
      <c r="C6" s="602"/>
      <c r="D6" s="675" t="s">
        <v>429</v>
      </c>
      <c r="E6" s="607" t="s">
        <v>294</v>
      </c>
      <c r="F6" s="674" t="s">
        <v>429</v>
      </c>
      <c r="G6" s="607" t="s">
        <v>294</v>
      </c>
      <c r="H6" s="674" t="s">
        <v>429</v>
      </c>
      <c r="I6" s="607" t="s">
        <v>294</v>
      </c>
      <c r="J6" s="674" t="s">
        <v>429</v>
      </c>
      <c r="K6" s="607" t="s">
        <v>294</v>
      </c>
      <c r="L6" s="606" t="s">
        <v>429</v>
      </c>
      <c r="M6" s="607" t="s">
        <v>294</v>
      </c>
      <c r="N6" s="674" t="s">
        <v>429</v>
      </c>
      <c r="O6" s="607" t="s">
        <v>294</v>
      </c>
      <c r="P6" s="603"/>
      <c r="Q6" s="608" t="s">
        <v>11</v>
      </c>
      <c r="R6" s="609" t="s">
        <v>12</v>
      </c>
      <c r="S6" s="609" t="s">
        <v>13</v>
      </c>
      <c r="T6" s="609" t="s">
        <v>14</v>
      </c>
      <c r="U6" s="670" t="s">
        <v>11</v>
      </c>
      <c r="V6" s="670" t="s">
        <v>12</v>
      </c>
      <c r="W6" s="610" t="s">
        <v>50</v>
      </c>
      <c r="X6" s="611"/>
      <c r="Y6" s="612" t="s">
        <v>430</v>
      </c>
      <c r="Z6" s="613"/>
      <c r="AA6" s="595"/>
      <c r="AB6" s="595"/>
      <c r="AC6" s="595"/>
    </row>
    <row r="7" spans="1:33" ht="12.75" customHeight="1">
      <c r="A7" s="757" t="s">
        <v>321</v>
      </c>
      <c r="B7" s="758" t="s">
        <v>309</v>
      </c>
      <c r="C7" s="759"/>
      <c r="D7" s="760"/>
      <c r="E7" s="761"/>
      <c r="F7" s="762"/>
      <c r="G7" s="763"/>
      <c r="H7" s="764"/>
      <c r="I7" s="761"/>
      <c r="J7" s="762"/>
      <c r="K7" s="763"/>
      <c r="L7" s="765">
        <v>200</v>
      </c>
      <c r="M7" s="761">
        <f>80/1.17</f>
        <v>68.376068376068375</v>
      </c>
      <c r="N7" s="762">
        <v>200</v>
      </c>
      <c r="O7" s="763">
        <f>80/1.17</f>
        <v>68.376068376068375</v>
      </c>
      <c r="P7" s="603"/>
      <c r="Q7" s="614">
        <f>$D7*$E7*3/$AF$1</f>
        <v>0</v>
      </c>
      <c r="R7" s="615">
        <f>$F7*$G7*3/$AF$1</f>
        <v>0</v>
      </c>
      <c r="S7" s="615">
        <f>$H7*$I7*3/$AF$1</f>
        <v>0</v>
      </c>
      <c r="T7" s="615">
        <f>$J7*$K7*3/$AF$1</f>
        <v>0</v>
      </c>
      <c r="U7" s="615">
        <f>$L7*$M7*3/$AF$1</f>
        <v>12526.913290272068</v>
      </c>
      <c r="V7" s="615">
        <f>$N7*$O7*3/$AF$1</f>
        <v>12526.913290272068</v>
      </c>
      <c r="W7" s="616">
        <f>SUM(Q7:V7)</f>
        <v>25053.826580544137</v>
      </c>
      <c r="X7" s="617"/>
      <c r="Y7" s="618">
        <v>47430</v>
      </c>
      <c r="Z7" s="619"/>
      <c r="AA7" s="595" t="e">
        <f>+#REF!/#REF!</f>
        <v>#REF!</v>
      </c>
      <c r="AB7" s="595"/>
      <c r="AC7" s="595"/>
      <c r="AG7" s="620"/>
    </row>
    <row r="8" spans="1:33" ht="12.75" customHeight="1">
      <c r="A8" s="766"/>
      <c r="B8" s="767" t="s">
        <v>208</v>
      </c>
      <c r="C8" s="759"/>
      <c r="D8" s="768">
        <v>2</v>
      </c>
      <c r="E8" s="769">
        <v>700</v>
      </c>
      <c r="F8" s="770">
        <v>2</v>
      </c>
      <c r="G8" s="771">
        <v>700</v>
      </c>
      <c r="H8" s="772">
        <v>2</v>
      </c>
      <c r="I8" s="769">
        <v>700</v>
      </c>
      <c r="J8" s="770">
        <v>2</v>
      </c>
      <c r="K8" s="771">
        <v>700</v>
      </c>
      <c r="L8" s="773">
        <v>5</v>
      </c>
      <c r="M8" s="769">
        <v>700</v>
      </c>
      <c r="N8" s="770">
        <v>5</v>
      </c>
      <c r="O8" s="771">
        <v>700</v>
      </c>
      <c r="P8" s="603"/>
      <c r="Q8" s="621">
        <f t="shared" ref="Q8:Q14" si="0">$D8*$E8*3/$AF$1</f>
        <v>1282.4427480916029</v>
      </c>
      <c r="R8" s="622">
        <f t="shared" ref="R8:R14" si="1">$F8*$G8*3/$AF$1</f>
        <v>1282.4427480916029</v>
      </c>
      <c r="S8" s="623">
        <f t="shared" ref="S8:S14" si="2">$H8*$I8*3/$AF$1</f>
        <v>1282.4427480916029</v>
      </c>
      <c r="T8" s="622">
        <f t="shared" ref="T8:T14" si="3">$J8*$K8*3/$AF$1</f>
        <v>1282.4427480916029</v>
      </c>
      <c r="U8" s="671">
        <f t="shared" ref="U8:U14" si="4">$L8*$M8*3/$AF$1</f>
        <v>3206.1068702290072</v>
      </c>
      <c r="V8" s="671">
        <f t="shared" ref="V8:V14" si="5">$N8*$O8*3/$AF$1</f>
        <v>3206.1068702290072</v>
      </c>
      <c r="W8" s="624">
        <f t="shared" ref="W8:W14" si="6">SUM(Q8:V8)</f>
        <v>11541.984732824425</v>
      </c>
      <c r="X8" s="617"/>
      <c r="Y8" s="625">
        <v>49699</v>
      </c>
      <c r="Z8" s="626"/>
      <c r="AA8" s="595"/>
      <c r="AB8" s="595"/>
      <c r="AC8" s="595"/>
    </row>
    <row r="9" spans="1:33" ht="13.5" customHeight="1" thickBot="1">
      <c r="A9" s="766"/>
      <c r="B9" s="767" t="s">
        <v>310</v>
      </c>
      <c r="C9" s="759"/>
      <c r="D9" s="768"/>
      <c r="E9" s="769"/>
      <c r="F9" s="770"/>
      <c r="G9" s="771"/>
      <c r="H9" s="772"/>
      <c r="I9" s="769"/>
      <c r="J9" s="770"/>
      <c r="K9" s="771"/>
      <c r="L9" s="773">
        <f>+L7</f>
        <v>200</v>
      </c>
      <c r="M9" s="769">
        <f>20/1.17</f>
        <v>17.094017094017094</v>
      </c>
      <c r="N9" s="770">
        <f>+N7</f>
        <v>200</v>
      </c>
      <c r="O9" s="771">
        <f>20/1.17</f>
        <v>17.094017094017094</v>
      </c>
      <c r="P9" s="603"/>
      <c r="Q9" s="621">
        <f t="shared" si="0"/>
        <v>0</v>
      </c>
      <c r="R9" s="622">
        <f t="shared" si="1"/>
        <v>0</v>
      </c>
      <c r="S9" s="623">
        <f t="shared" si="2"/>
        <v>0</v>
      </c>
      <c r="T9" s="622">
        <f t="shared" si="3"/>
        <v>0</v>
      </c>
      <c r="U9" s="671">
        <f t="shared" si="4"/>
        <v>3131.7283225680171</v>
      </c>
      <c r="V9" s="671">
        <f t="shared" si="5"/>
        <v>3131.7283225680171</v>
      </c>
      <c r="W9" s="624">
        <f t="shared" si="6"/>
        <v>6263.4566451360342</v>
      </c>
      <c r="X9" s="617"/>
      <c r="Y9" s="625"/>
      <c r="Z9" s="626"/>
      <c r="AA9" s="595"/>
      <c r="AB9" s="595"/>
      <c r="AC9" s="595"/>
    </row>
    <row r="10" spans="1:33" ht="13.5" customHeight="1" thickBot="1">
      <c r="A10" s="766"/>
      <c r="B10" s="767" t="s">
        <v>209</v>
      </c>
      <c r="C10" s="759"/>
      <c r="D10" s="768"/>
      <c r="E10" s="769"/>
      <c r="F10" s="770"/>
      <c r="G10" s="771"/>
      <c r="H10" s="772"/>
      <c r="I10" s="769"/>
      <c r="J10" s="770"/>
      <c r="K10" s="771"/>
      <c r="L10" s="773">
        <f>+L7</f>
        <v>200</v>
      </c>
      <c r="M10" s="769">
        <v>27</v>
      </c>
      <c r="N10" s="770">
        <f>+N7</f>
        <v>200</v>
      </c>
      <c r="O10" s="771">
        <v>27</v>
      </c>
      <c r="P10" s="603"/>
      <c r="Q10" s="621">
        <f t="shared" si="0"/>
        <v>0</v>
      </c>
      <c r="R10" s="622">
        <f t="shared" si="1"/>
        <v>0</v>
      </c>
      <c r="S10" s="623">
        <f t="shared" si="2"/>
        <v>0</v>
      </c>
      <c r="T10" s="622">
        <f t="shared" si="3"/>
        <v>0</v>
      </c>
      <c r="U10" s="671">
        <f t="shared" si="4"/>
        <v>4946.5648854961828</v>
      </c>
      <c r="V10" s="671">
        <f t="shared" si="5"/>
        <v>4946.5648854961828</v>
      </c>
      <c r="W10" s="624">
        <f t="shared" si="6"/>
        <v>9893.1297709923656</v>
      </c>
      <c r="X10" s="629"/>
      <c r="Y10" s="628"/>
      <c r="Z10" s="595"/>
      <c r="AA10" s="595"/>
      <c r="AB10" s="595"/>
      <c r="AC10" s="595"/>
    </row>
    <row r="11" spans="1:33" ht="13.5" customHeight="1" thickBot="1">
      <c r="A11" s="766"/>
      <c r="B11" s="767" t="s">
        <v>200</v>
      </c>
      <c r="C11" s="759"/>
      <c r="D11" s="768"/>
      <c r="E11" s="769"/>
      <c r="F11" s="770"/>
      <c r="G11" s="771"/>
      <c r="H11" s="772"/>
      <c r="I11" s="769"/>
      <c r="J11" s="770"/>
      <c r="K11" s="771"/>
      <c r="L11" s="773">
        <f>+L10</f>
        <v>200</v>
      </c>
      <c r="M11" s="769">
        <v>4</v>
      </c>
      <c r="N11" s="770">
        <f>+N10</f>
        <v>200</v>
      </c>
      <c r="O11" s="771">
        <v>4</v>
      </c>
      <c r="P11" s="603"/>
      <c r="Q11" s="621">
        <f t="shared" si="0"/>
        <v>0</v>
      </c>
      <c r="R11" s="622">
        <f t="shared" si="1"/>
        <v>0</v>
      </c>
      <c r="S11" s="623">
        <f t="shared" si="2"/>
        <v>0</v>
      </c>
      <c r="T11" s="622">
        <f t="shared" si="3"/>
        <v>0</v>
      </c>
      <c r="U11" s="671">
        <f t="shared" si="4"/>
        <v>732.82442748091592</v>
      </c>
      <c r="V11" s="671">
        <f t="shared" si="5"/>
        <v>732.82442748091592</v>
      </c>
      <c r="W11" s="624">
        <f t="shared" si="6"/>
        <v>1465.6488549618318</v>
      </c>
      <c r="X11" s="629"/>
      <c r="Y11" s="628"/>
      <c r="Z11" s="595"/>
      <c r="AA11" s="595"/>
      <c r="AB11" s="595"/>
      <c r="AC11" s="595"/>
      <c r="AD11" s="630"/>
    </row>
    <row r="12" spans="1:33" ht="13.5" customHeight="1" thickBot="1">
      <c r="A12" s="766"/>
      <c r="B12" s="767" t="s">
        <v>212</v>
      </c>
      <c r="C12" s="759"/>
      <c r="D12" s="768"/>
      <c r="E12" s="769"/>
      <c r="F12" s="770"/>
      <c r="G12" s="771"/>
      <c r="H12" s="772"/>
      <c r="I12" s="769"/>
      <c r="J12" s="770"/>
      <c r="K12" s="771"/>
      <c r="L12" s="773">
        <v>1</v>
      </c>
      <c r="M12" s="769">
        <v>2000</v>
      </c>
      <c r="N12" s="770">
        <v>1</v>
      </c>
      <c r="O12" s="771">
        <f>+M12</f>
        <v>2000</v>
      </c>
      <c r="P12" s="603"/>
      <c r="Q12" s="621">
        <f t="shared" si="0"/>
        <v>0</v>
      </c>
      <c r="R12" s="622">
        <f t="shared" si="1"/>
        <v>0</v>
      </c>
      <c r="S12" s="623">
        <f t="shared" si="2"/>
        <v>0</v>
      </c>
      <c r="T12" s="622">
        <f t="shared" si="3"/>
        <v>0</v>
      </c>
      <c r="U12" s="671">
        <f t="shared" si="4"/>
        <v>1832.06106870229</v>
      </c>
      <c r="V12" s="671">
        <f t="shared" si="5"/>
        <v>1832.06106870229</v>
      </c>
      <c r="W12" s="624">
        <f t="shared" si="6"/>
        <v>3664.1221374045799</v>
      </c>
      <c r="X12" s="627"/>
      <c r="Y12" s="628"/>
      <c r="Z12" s="595"/>
      <c r="AA12" s="595"/>
      <c r="AB12" s="595"/>
      <c r="AC12" s="595"/>
      <c r="AD12" s="630"/>
    </row>
    <row r="13" spans="1:33" ht="12.75" customHeight="1">
      <c r="A13" s="766"/>
      <c r="B13" s="767" t="s">
        <v>431</v>
      </c>
      <c r="C13" s="759"/>
      <c r="D13" s="768">
        <v>2</v>
      </c>
      <c r="E13" s="769">
        <v>3000</v>
      </c>
      <c r="F13" s="770">
        <v>3</v>
      </c>
      <c r="G13" s="771">
        <v>3000</v>
      </c>
      <c r="H13" s="772">
        <v>3</v>
      </c>
      <c r="I13" s="769">
        <v>5200</v>
      </c>
      <c r="J13" s="770">
        <v>3</v>
      </c>
      <c r="K13" s="771">
        <v>5200</v>
      </c>
      <c r="L13" s="773"/>
      <c r="M13" s="769"/>
      <c r="N13" s="770"/>
      <c r="O13" s="771"/>
      <c r="P13" s="603"/>
      <c r="Q13" s="621">
        <f t="shared" si="0"/>
        <v>5496.1832061068699</v>
      </c>
      <c r="R13" s="622">
        <f t="shared" si="1"/>
        <v>8244.2748091603044</v>
      </c>
      <c r="S13" s="623">
        <f t="shared" si="2"/>
        <v>14290.07633587786</v>
      </c>
      <c r="T13" s="622">
        <f t="shared" si="3"/>
        <v>14290.07633587786</v>
      </c>
      <c r="U13" s="671">
        <f t="shared" si="4"/>
        <v>0</v>
      </c>
      <c r="V13" s="671">
        <f t="shared" si="5"/>
        <v>0</v>
      </c>
      <c r="W13" s="624">
        <f t="shared" si="6"/>
        <v>42320.610687022898</v>
      </c>
      <c r="X13" s="627"/>
      <c r="Y13" s="628"/>
      <c r="Z13" s="595"/>
      <c r="AA13" s="595"/>
      <c r="AB13" s="595"/>
      <c r="AC13" s="595"/>
      <c r="AD13" s="630"/>
    </row>
    <row r="14" spans="1:33" ht="13.5" customHeight="1" thickBot="1">
      <c r="A14" s="774"/>
      <c r="B14" s="775"/>
      <c r="C14" s="759"/>
      <c r="D14" s="776"/>
      <c r="E14" s="777"/>
      <c r="F14" s="778"/>
      <c r="G14" s="779"/>
      <c r="H14" s="780"/>
      <c r="I14" s="777"/>
      <c r="J14" s="778"/>
      <c r="K14" s="779"/>
      <c r="L14" s="781"/>
      <c r="M14" s="777"/>
      <c r="N14" s="778"/>
      <c r="O14" s="779"/>
      <c r="P14" s="603"/>
      <c r="Q14" s="631">
        <f t="shared" si="0"/>
        <v>0</v>
      </c>
      <c r="R14" s="632">
        <f t="shared" si="1"/>
        <v>0</v>
      </c>
      <c r="S14" s="633">
        <f t="shared" si="2"/>
        <v>0</v>
      </c>
      <c r="T14" s="632">
        <f t="shared" si="3"/>
        <v>0</v>
      </c>
      <c r="U14" s="672">
        <f t="shared" si="4"/>
        <v>0</v>
      </c>
      <c r="V14" s="672">
        <f t="shared" si="5"/>
        <v>0</v>
      </c>
      <c r="W14" s="634">
        <f t="shared" si="6"/>
        <v>0</v>
      </c>
      <c r="X14" s="635"/>
      <c r="Y14" s="628"/>
      <c r="Z14" s="595"/>
      <c r="AA14" s="595"/>
      <c r="AB14" s="595"/>
      <c r="AC14" s="595"/>
      <c r="AD14" s="630"/>
    </row>
    <row r="15" spans="1:33" ht="12.75" customHeight="1" thickBot="1">
      <c r="A15" s="782"/>
      <c r="B15" s="783"/>
      <c r="C15" s="759"/>
      <c r="D15" s="784"/>
      <c r="E15" s="784"/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603"/>
      <c r="Q15" s="628">
        <f t="shared" ref="Q15:W15" si="7">SUM(Q7:Q14)</f>
        <v>6778.6259541984728</v>
      </c>
      <c r="R15" s="628">
        <f t="shared" si="7"/>
        <v>9526.7175572519081</v>
      </c>
      <c r="S15" s="628">
        <f t="shared" si="7"/>
        <v>15572.519083969462</v>
      </c>
      <c r="T15" s="628">
        <f t="shared" si="7"/>
        <v>15572.519083969462</v>
      </c>
      <c r="U15" s="628">
        <f t="shared" si="7"/>
        <v>26376.19886474848</v>
      </c>
      <c r="V15" s="628">
        <f t="shared" si="7"/>
        <v>26376.19886474848</v>
      </c>
      <c r="W15" s="628">
        <f t="shared" si="7"/>
        <v>100202.77940888627</v>
      </c>
      <c r="X15" s="636"/>
      <c r="Y15" s="628"/>
      <c r="Z15" s="595"/>
      <c r="AA15" s="595"/>
      <c r="AB15" s="595"/>
      <c r="AC15" s="595"/>
    </row>
    <row r="16" spans="1:33" ht="13.5" customHeight="1" thickBot="1">
      <c r="A16" s="782"/>
      <c r="B16" s="783"/>
      <c r="C16" s="759"/>
      <c r="D16" s="854" t="s">
        <v>11</v>
      </c>
      <c r="E16" s="848"/>
      <c r="F16" s="854" t="s">
        <v>12</v>
      </c>
      <c r="G16" s="848"/>
      <c r="H16" s="847" t="s">
        <v>13</v>
      </c>
      <c r="I16" s="848"/>
      <c r="J16" s="855" t="s">
        <v>14</v>
      </c>
      <c r="K16" s="856"/>
      <c r="L16" s="854" t="s">
        <v>11</v>
      </c>
      <c r="M16" s="848"/>
      <c r="N16" s="847" t="s">
        <v>12</v>
      </c>
      <c r="O16" s="848"/>
      <c r="P16" s="603"/>
      <c r="Q16" s="637"/>
      <c r="R16" s="637"/>
      <c r="S16" s="637"/>
      <c r="T16" s="637"/>
      <c r="U16" s="637"/>
      <c r="V16" s="637"/>
      <c r="W16" s="628"/>
      <c r="X16" s="628"/>
      <c r="Y16" s="628" t="e">
        <f>SUM(#REF!)</f>
        <v>#REF!</v>
      </c>
      <c r="Z16" s="595"/>
      <c r="AA16" s="595"/>
      <c r="AB16" s="595"/>
      <c r="AC16" s="595"/>
    </row>
    <row r="17" spans="1:39" ht="12.75" customHeight="1">
      <c r="A17" s="785" t="s">
        <v>159</v>
      </c>
      <c r="B17" s="786" t="s">
        <v>311</v>
      </c>
      <c r="C17" s="759"/>
      <c r="D17" s="787"/>
      <c r="E17" s="788"/>
      <c r="F17" s="789">
        <f t="shared" ref="F17:K22" si="8">+D17</f>
        <v>0</v>
      </c>
      <c r="G17" s="790">
        <f t="shared" si="8"/>
        <v>0</v>
      </c>
      <c r="H17" s="791">
        <f t="shared" si="8"/>
        <v>0</v>
      </c>
      <c r="I17" s="788">
        <f t="shared" si="8"/>
        <v>0</v>
      </c>
      <c r="J17" s="792">
        <f t="shared" si="8"/>
        <v>0</v>
      </c>
      <c r="K17" s="790">
        <f t="shared" si="8"/>
        <v>0</v>
      </c>
      <c r="L17" s="793">
        <v>1</v>
      </c>
      <c r="M17" s="788">
        <v>100</v>
      </c>
      <c r="N17" s="792">
        <v>1</v>
      </c>
      <c r="O17" s="790">
        <v>100</v>
      </c>
      <c r="P17" s="603"/>
      <c r="Q17" s="638">
        <f t="shared" ref="Q17:Q22" si="9">$D17*$E17*3/$AF$1</f>
        <v>0</v>
      </c>
      <c r="R17" s="639">
        <f t="shared" ref="R17:R22" si="10">$F17*$G17*3/$AF$1</f>
        <v>0</v>
      </c>
      <c r="S17" s="640">
        <f t="shared" ref="S17:S22" si="11">$H17*$I17*3/$AF$1</f>
        <v>0</v>
      </c>
      <c r="T17" s="639">
        <f t="shared" ref="T17:T22" si="12">$J17*$K17*3/$AF$1</f>
        <v>0</v>
      </c>
      <c r="U17" s="673">
        <f t="shared" ref="U17:U22" si="13">$L17*$M17*3/$AF$1</f>
        <v>91.603053435114489</v>
      </c>
      <c r="V17" s="673">
        <f t="shared" ref="V17:V22" si="14">$N17*$O17*3/$AF$1</f>
        <v>91.603053435114489</v>
      </c>
      <c r="W17" s="641">
        <f t="shared" ref="W17:W22" si="15">SUM(Q17:V17)</f>
        <v>183.20610687022898</v>
      </c>
      <c r="X17" s="642"/>
      <c r="Y17" s="643">
        <f>29906/10*12</f>
        <v>35887.199999999997</v>
      </c>
      <c r="Z17" s="619"/>
      <c r="AA17" s="595" t="e">
        <f t="shared" ref="AA17:AA19" si="16">+#REF!/#REF!</f>
        <v>#REF!</v>
      </c>
      <c r="AB17" s="595"/>
      <c r="AC17" s="595"/>
    </row>
    <row r="18" spans="1:39" ht="12.75" customHeight="1">
      <c r="A18" s="766"/>
      <c r="B18" s="767" t="s">
        <v>314</v>
      </c>
      <c r="C18" s="759"/>
      <c r="D18" s="768">
        <v>1</v>
      </c>
      <c r="E18" s="769">
        <v>500</v>
      </c>
      <c r="F18" s="794">
        <f t="shared" si="8"/>
        <v>1</v>
      </c>
      <c r="G18" s="771">
        <f t="shared" si="8"/>
        <v>500</v>
      </c>
      <c r="H18" s="772">
        <f t="shared" si="8"/>
        <v>1</v>
      </c>
      <c r="I18" s="769">
        <f t="shared" si="8"/>
        <v>500</v>
      </c>
      <c r="J18" s="770">
        <f t="shared" si="8"/>
        <v>1</v>
      </c>
      <c r="K18" s="771">
        <f t="shared" si="8"/>
        <v>500</v>
      </c>
      <c r="L18" s="773">
        <v>1</v>
      </c>
      <c r="M18" s="769">
        <v>300</v>
      </c>
      <c r="N18" s="770">
        <v>1</v>
      </c>
      <c r="O18" s="771">
        <v>300</v>
      </c>
      <c r="P18" s="603"/>
      <c r="Q18" s="621">
        <f t="shared" si="9"/>
        <v>458.01526717557249</v>
      </c>
      <c r="R18" s="622">
        <f t="shared" si="10"/>
        <v>458.01526717557249</v>
      </c>
      <c r="S18" s="623">
        <f t="shared" si="11"/>
        <v>458.01526717557249</v>
      </c>
      <c r="T18" s="622">
        <f t="shared" si="12"/>
        <v>458.01526717557249</v>
      </c>
      <c r="U18" s="671">
        <f t="shared" si="13"/>
        <v>274.80916030534348</v>
      </c>
      <c r="V18" s="671">
        <f t="shared" si="14"/>
        <v>274.80916030534348</v>
      </c>
      <c r="W18" s="624">
        <f t="shared" si="15"/>
        <v>2381.679389312977</v>
      </c>
      <c r="X18" s="644"/>
      <c r="Y18" s="645">
        <v>380</v>
      </c>
      <c r="Z18" s="646"/>
      <c r="AA18" s="595" t="e">
        <f t="shared" si="16"/>
        <v>#REF!</v>
      </c>
      <c r="AB18" s="595"/>
      <c r="AC18" s="595"/>
      <c r="AD18" s="647"/>
    </row>
    <row r="19" spans="1:39" ht="12.75" customHeight="1">
      <c r="A19" s="766"/>
      <c r="B19" s="767" t="s">
        <v>313</v>
      </c>
      <c r="C19" s="759"/>
      <c r="D19" s="768"/>
      <c r="E19" s="769"/>
      <c r="F19" s="794">
        <f t="shared" si="8"/>
        <v>0</v>
      </c>
      <c r="G19" s="771">
        <f t="shared" si="8"/>
        <v>0</v>
      </c>
      <c r="H19" s="772">
        <f t="shared" si="8"/>
        <v>0</v>
      </c>
      <c r="I19" s="769">
        <f t="shared" si="8"/>
        <v>0</v>
      </c>
      <c r="J19" s="770">
        <f t="shared" si="8"/>
        <v>0</v>
      </c>
      <c r="K19" s="771">
        <f t="shared" si="8"/>
        <v>0</v>
      </c>
      <c r="L19" s="773">
        <v>3</v>
      </c>
      <c r="M19" s="769">
        <v>400</v>
      </c>
      <c r="N19" s="770">
        <v>3</v>
      </c>
      <c r="O19" s="771">
        <v>400</v>
      </c>
      <c r="P19" s="603"/>
      <c r="Q19" s="621">
        <f t="shared" si="9"/>
        <v>0</v>
      </c>
      <c r="R19" s="622">
        <f t="shared" si="10"/>
        <v>0</v>
      </c>
      <c r="S19" s="623">
        <f t="shared" si="11"/>
        <v>0</v>
      </c>
      <c r="T19" s="622">
        <f t="shared" si="12"/>
        <v>0</v>
      </c>
      <c r="U19" s="671">
        <f t="shared" si="13"/>
        <v>1099.2366412213739</v>
      </c>
      <c r="V19" s="671">
        <f t="shared" si="14"/>
        <v>1099.2366412213739</v>
      </c>
      <c r="W19" s="624">
        <f t="shared" si="15"/>
        <v>2198.4732824427479</v>
      </c>
      <c r="X19" s="644"/>
      <c r="Y19" s="645">
        <v>8976</v>
      </c>
      <c r="Z19" s="646"/>
      <c r="AA19" s="595" t="e">
        <f t="shared" si="16"/>
        <v>#REF!</v>
      </c>
      <c r="AB19" s="595"/>
      <c r="AC19" s="595"/>
    </row>
    <row r="20" spans="1:39" ht="12.75" customHeight="1">
      <c r="A20" s="766"/>
      <c r="B20" s="795" t="s">
        <v>432</v>
      </c>
      <c r="C20" s="759"/>
      <c r="D20" s="768"/>
      <c r="E20" s="769"/>
      <c r="F20" s="794">
        <f t="shared" si="8"/>
        <v>0</v>
      </c>
      <c r="G20" s="771">
        <f t="shared" si="8"/>
        <v>0</v>
      </c>
      <c r="H20" s="772">
        <f t="shared" si="8"/>
        <v>0</v>
      </c>
      <c r="I20" s="769">
        <f t="shared" si="8"/>
        <v>0</v>
      </c>
      <c r="J20" s="770">
        <f t="shared" si="8"/>
        <v>0</v>
      </c>
      <c r="K20" s="771">
        <f t="shared" si="8"/>
        <v>0</v>
      </c>
      <c r="L20" s="773"/>
      <c r="M20" s="769"/>
      <c r="N20" s="770"/>
      <c r="O20" s="771"/>
      <c r="P20" s="603"/>
      <c r="Q20" s="621">
        <f t="shared" si="9"/>
        <v>0</v>
      </c>
      <c r="R20" s="622">
        <f t="shared" si="10"/>
        <v>0</v>
      </c>
      <c r="S20" s="623">
        <f t="shared" si="11"/>
        <v>0</v>
      </c>
      <c r="T20" s="622">
        <f t="shared" si="12"/>
        <v>0</v>
      </c>
      <c r="U20" s="671">
        <f t="shared" si="13"/>
        <v>0</v>
      </c>
      <c r="V20" s="671">
        <f t="shared" si="14"/>
        <v>0</v>
      </c>
      <c r="W20" s="624">
        <f t="shared" si="15"/>
        <v>0</v>
      </c>
      <c r="X20" s="648"/>
      <c r="Y20" s="649"/>
      <c r="Z20" s="650"/>
      <c r="AA20" s="595"/>
      <c r="AB20" s="595"/>
      <c r="AC20" s="595"/>
    </row>
    <row r="21" spans="1:39" ht="12.75" customHeight="1">
      <c r="A21" s="766"/>
      <c r="B21" s="795" t="s">
        <v>210</v>
      </c>
      <c r="C21" s="759"/>
      <c r="D21" s="768"/>
      <c r="E21" s="769"/>
      <c r="F21" s="794">
        <f t="shared" si="8"/>
        <v>0</v>
      </c>
      <c r="G21" s="771">
        <f t="shared" si="8"/>
        <v>0</v>
      </c>
      <c r="H21" s="772">
        <f t="shared" si="8"/>
        <v>0</v>
      </c>
      <c r="I21" s="769">
        <f t="shared" si="8"/>
        <v>0</v>
      </c>
      <c r="J21" s="770">
        <f t="shared" si="8"/>
        <v>0</v>
      </c>
      <c r="K21" s="771">
        <f t="shared" si="8"/>
        <v>0</v>
      </c>
      <c r="L21" s="773"/>
      <c r="M21" s="769"/>
      <c r="N21" s="770"/>
      <c r="O21" s="771"/>
      <c r="P21" s="603"/>
      <c r="Q21" s="621">
        <f t="shared" si="9"/>
        <v>0</v>
      </c>
      <c r="R21" s="622">
        <f t="shared" si="10"/>
        <v>0</v>
      </c>
      <c r="S21" s="623">
        <f t="shared" si="11"/>
        <v>0</v>
      </c>
      <c r="T21" s="622">
        <f t="shared" si="12"/>
        <v>0</v>
      </c>
      <c r="U21" s="671">
        <f t="shared" si="13"/>
        <v>0</v>
      </c>
      <c r="V21" s="671">
        <f t="shared" si="14"/>
        <v>0</v>
      </c>
      <c r="W21" s="624">
        <f t="shared" si="15"/>
        <v>0</v>
      </c>
      <c r="X21" s="648"/>
      <c r="Y21" s="649"/>
      <c r="Z21" s="650"/>
      <c r="AA21" s="595"/>
      <c r="AB21" s="595"/>
      <c r="AC21" s="595"/>
    </row>
    <row r="22" spans="1:39" ht="13.5" customHeight="1" thickBot="1">
      <c r="A22" s="774"/>
      <c r="B22" s="775" t="s">
        <v>211</v>
      </c>
      <c r="C22" s="759"/>
      <c r="D22" s="776">
        <v>3</v>
      </c>
      <c r="E22" s="796">
        <v>400</v>
      </c>
      <c r="F22" s="797">
        <f t="shared" si="8"/>
        <v>3</v>
      </c>
      <c r="G22" s="798">
        <f t="shared" si="8"/>
        <v>400</v>
      </c>
      <c r="H22" s="799">
        <f t="shared" si="8"/>
        <v>3</v>
      </c>
      <c r="I22" s="796">
        <f t="shared" si="8"/>
        <v>400</v>
      </c>
      <c r="J22" s="800">
        <f t="shared" si="8"/>
        <v>3</v>
      </c>
      <c r="K22" s="798">
        <f t="shared" si="8"/>
        <v>400</v>
      </c>
      <c r="L22" s="781">
        <v>3</v>
      </c>
      <c r="M22" s="796">
        <v>600</v>
      </c>
      <c r="N22" s="800">
        <v>3</v>
      </c>
      <c r="O22" s="798">
        <v>600</v>
      </c>
      <c r="P22" s="603"/>
      <c r="Q22" s="631">
        <f t="shared" si="9"/>
        <v>1099.2366412213739</v>
      </c>
      <c r="R22" s="632">
        <f t="shared" si="10"/>
        <v>1099.2366412213739</v>
      </c>
      <c r="S22" s="633">
        <f t="shared" si="11"/>
        <v>1099.2366412213739</v>
      </c>
      <c r="T22" s="632">
        <f t="shared" si="12"/>
        <v>1099.2366412213739</v>
      </c>
      <c r="U22" s="672">
        <f t="shared" si="13"/>
        <v>1648.8549618320608</v>
      </c>
      <c r="V22" s="672">
        <f t="shared" si="14"/>
        <v>1648.8549618320608</v>
      </c>
      <c r="W22" s="634">
        <f t="shared" si="15"/>
        <v>7694.6564885496173</v>
      </c>
      <c r="X22" s="635"/>
      <c r="Y22" s="651"/>
      <c r="Z22" s="652"/>
      <c r="AA22" s="595" t="e">
        <f>+#REF!/#REF!</f>
        <v>#REF!</v>
      </c>
      <c r="AB22" s="595"/>
      <c r="AC22" s="595"/>
      <c r="AF22" s="540"/>
    </row>
    <row r="23" spans="1:39" ht="12.75" customHeight="1" thickBot="1">
      <c r="A23" s="782"/>
      <c r="B23" s="783"/>
      <c r="C23" s="759"/>
      <c r="D23" s="759"/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603"/>
      <c r="Q23" s="653">
        <f t="shared" ref="Q23:W23" si="17">SUM(Q17:Q22)</f>
        <v>1557.2519083969464</v>
      </c>
      <c r="R23" s="654">
        <f t="shared" si="17"/>
        <v>1557.2519083969464</v>
      </c>
      <c r="S23" s="654">
        <f t="shared" si="17"/>
        <v>1557.2519083969464</v>
      </c>
      <c r="T23" s="654">
        <f t="shared" si="17"/>
        <v>1557.2519083969464</v>
      </c>
      <c r="U23" s="654">
        <f t="shared" si="17"/>
        <v>3114.5038167938928</v>
      </c>
      <c r="V23" s="654">
        <f t="shared" si="17"/>
        <v>3114.5038167938928</v>
      </c>
      <c r="W23" s="654">
        <f t="shared" si="17"/>
        <v>12458.015267175571</v>
      </c>
      <c r="X23" s="602"/>
      <c r="Y23" s="602"/>
      <c r="Z23" s="602"/>
      <c r="AA23" s="602"/>
      <c r="AB23" s="602"/>
      <c r="AC23" s="602"/>
      <c r="AD23" s="602"/>
      <c r="AF23" s="540"/>
    </row>
    <row r="24" spans="1:39" ht="13.5" customHeight="1" thickBot="1">
      <c r="A24" s="782"/>
      <c r="B24" s="783"/>
      <c r="C24" s="759"/>
      <c r="D24" s="854" t="s">
        <v>11</v>
      </c>
      <c r="E24" s="848"/>
      <c r="F24" s="847" t="s">
        <v>12</v>
      </c>
      <c r="G24" s="848"/>
      <c r="H24" s="847" t="s">
        <v>13</v>
      </c>
      <c r="I24" s="848"/>
      <c r="J24" s="855" t="s">
        <v>14</v>
      </c>
      <c r="K24" s="856"/>
      <c r="L24" s="854" t="s">
        <v>11</v>
      </c>
      <c r="M24" s="848"/>
      <c r="N24" s="847" t="s">
        <v>12</v>
      </c>
      <c r="O24" s="848"/>
      <c r="P24" s="603"/>
      <c r="Q24" s="655"/>
      <c r="R24" s="654"/>
      <c r="S24" s="654"/>
      <c r="T24" s="654"/>
      <c r="U24" s="654"/>
      <c r="V24" s="654"/>
      <c r="W24" s="654"/>
      <c r="X24" s="602"/>
      <c r="Y24" s="602"/>
      <c r="Z24" s="602"/>
      <c r="AA24" s="602"/>
      <c r="AB24" s="602"/>
      <c r="AC24" s="602"/>
      <c r="AD24" s="602"/>
      <c r="AF24" s="540"/>
    </row>
    <row r="25" spans="1:39" ht="12.75" customHeight="1">
      <c r="A25" s="785" t="s">
        <v>387</v>
      </c>
      <c r="B25" s="786" t="s">
        <v>312</v>
      </c>
      <c r="C25" s="759"/>
      <c r="D25" s="787">
        <v>3</v>
      </c>
      <c r="E25" s="788">
        <v>1000</v>
      </c>
      <c r="F25" s="792">
        <f t="shared" ref="F25:K30" si="18">+D25</f>
        <v>3</v>
      </c>
      <c r="G25" s="790">
        <f t="shared" si="18"/>
        <v>1000</v>
      </c>
      <c r="H25" s="791">
        <f t="shared" si="18"/>
        <v>3</v>
      </c>
      <c r="I25" s="788">
        <f t="shared" si="18"/>
        <v>1000</v>
      </c>
      <c r="J25" s="792">
        <f t="shared" si="18"/>
        <v>3</v>
      </c>
      <c r="K25" s="790">
        <f t="shared" si="18"/>
        <v>1000</v>
      </c>
      <c r="L25" s="793">
        <v>3</v>
      </c>
      <c r="M25" s="788">
        <v>1200</v>
      </c>
      <c r="N25" s="792">
        <f>+L25</f>
        <v>3</v>
      </c>
      <c r="O25" s="801">
        <v>1500</v>
      </c>
      <c r="P25" s="603"/>
      <c r="Q25" s="638">
        <f t="shared" ref="Q25:Q30" si="19">$D25*$E25*3/$AF$1</f>
        <v>2748.0916030534349</v>
      </c>
      <c r="R25" s="639">
        <f t="shared" ref="R25:R30" si="20">$F25*$G25*3/$AF$1</f>
        <v>2748.0916030534349</v>
      </c>
      <c r="S25" s="640">
        <f t="shared" ref="S25:S30" si="21">$H25*$I25*3/$AF$1</f>
        <v>2748.0916030534349</v>
      </c>
      <c r="T25" s="639">
        <f t="shared" ref="T25:T30" si="22">$J25*$K25*3/$AF$1</f>
        <v>2748.0916030534349</v>
      </c>
      <c r="U25" s="673">
        <f t="shared" ref="U25:U30" si="23">$L25*$M25*3/$AF$1</f>
        <v>3297.7099236641216</v>
      </c>
      <c r="V25" s="673">
        <f t="shared" ref="V25:V30" si="24">$N25*$O25*3/$AF$1</f>
        <v>4122.1374045801522</v>
      </c>
      <c r="W25" s="641">
        <f t="shared" ref="W25:W30" si="25">SUM(Q25:V25)</f>
        <v>18412.213740458013</v>
      </c>
      <c r="X25" s="642"/>
      <c r="Y25" s="643"/>
      <c r="Z25" s="619"/>
      <c r="AA25" s="595"/>
      <c r="AB25" s="595"/>
      <c r="AC25" s="595"/>
      <c r="AE25" s="620"/>
      <c r="AF25" s="540"/>
    </row>
    <row r="26" spans="1:39" ht="12.75" customHeight="1">
      <c r="A26" s="766"/>
      <c r="B26" s="767" t="s">
        <v>274</v>
      </c>
      <c r="C26" s="759"/>
      <c r="D26" s="768">
        <v>7</v>
      </c>
      <c r="E26" s="769">
        <v>150</v>
      </c>
      <c r="F26" s="770">
        <f t="shared" si="18"/>
        <v>7</v>
      </c>
      <c r="G26" s="771">
        <f t="shared" si="18"/>
        <v>150</v>
      </c>
      <c r="H26" s="772">
        <f t="shared" si="18"/>
        <v>7</v>
      </c>
      <c r="I26" s="769">
        <f t="shared" si="18"/>
        <v>150</v>
      </c>
      <c r="J26" s="770">
        <f t="shared" si="18"/>
        <v>7</v>
      </c>
      <c r="K26" s="771">
        <f t="shared" si="18"/>
        <v>150</v>
      </c>
      <c r="L26" s="773">
        <v>10</v>
      </c>
      <c r="M26" s="769">
        <v>150</v>
      </c>
      <c r="N26" s="770">
        <v>12</v>
      </c>
      <c r="O26" s="802">
        <f t="shared" ref="O26:O30" si="26">+M26</f>
        <v>150</v>
      </c>
      <c r="P26" s="603"/>
      <c r="Q26" s="621">
        <f t="shared" si="19"/>
        <v>961.83206106870216</v>
      </c>
      <c r="R26" s="622">
        <f t="shared" si="20"/>
        <v>961.83206106870216</v>
      </c>
      <c r="S26" s="623">
        <f t="shared" si="21"/>
        <v>961.83206106870216</v>
      </c>
      <c r="T26" s="622">
        <f t="shared" si="22"/>
        <v>961.83206106870216</v>
      </c>
      <c r="U26" s="671">
        <f t="shared" si="23"/>
        <v>1374.0458015267175</v>
      </c>
      <c r="V26" s="671">
        <f t="shared" si="24"/>
        <v>1648.8549618320608</v>
      </c>
      <c r="W26" s="624">
        <f t="shared" si="25"/>
        <v>6870.2290076335867</v>
      </c>
      <c r="X26" s="644"/>
      <c r="Y26" s="645"/>
      <c r="Z26" s="646"/>
      <c r="AA26" s="595"/>
      <c r="AB26" s="595"/>
      <c r="AC26" s="595"/>
      <c r="AD26" s="647"/>
      <c r="AF26" s="540"/>
    </row>
    <row r="27" spans="1:39" ht="12.75" customHeight="1">
      <c r="A27" s="766"/>
      <c r="B27" s="767" t="s">
        <v>433</v>
      </c>
      <c r="C27" s="759"/>
      <c r="D27" s="768">
        <v>3</v>
      </c>
      <c r="E27" s="769">
        <v>800</v>
      </c>
      <c r="F27" s="770">
        <f t="shared" si="18"/>
        <v>3</v>
      </c>
      <c r="G27" s="771">
        <f t="shared" si="18"/>
        <v>800</v>
      </c>
      <c r="H27" s="772">
        <f t="shared" si="18"/>
        <v>3</v>
      </c>
      <c r="I27" s="769">
        <f t="shared" si="18"/>
        <v>800</v>
      </c>
      <c r="J27" s="770">
        <f t="shared" si="18"/>
        <v>3</v>
      </c>
      <c r="K27" s="771">
        <f t="shared" si="18"/>
        <v>800</v>
      </c>
      <c r="L27" s="773">
        <v>3</v>
      </c>
      <c r="M27" s="769">
        <v>800</v>
      </c>
      <c r="N27" s="770">
        <f t="shared" ref="N27:N30" si="27">+L27</f>
        <v>3</v>
      </c>
      <c r="O27" s="802">
        <f t="shared" si="26"/>
        <v>800</v>
      </c>
      <c r="P27" s="603"/>
      <c r="Q27" s="621">
        <f t="shared" si="19"/>
        <v>2198.4732824427479</v>
      </c>
      <c r="R27" s="622">
        <f t="shared" si="20"/>
        <v>2198.4732824427479</v>
      </c>
      <c r="S27" s="623">
        <f t="shared" si="21"/>
        <v>2198.4732824427479</v>
      </c>
      <c r="T27" s="622">
        <f t="shared" si="22"/>
        <v>2198.4732824427479</v>
      </c>
      <c r="U27" s="671">
        <f t="shared" si="23"/>
        <v>2198.4732824427479</v>
      </c>
      <c r="V27" s="671">
        <f t="shared" si="24"/>
        <v>2198.4732824427479</v>
      </c>
      <c r="W27" s="624">
        <f t="shared" si="25"/>
        <v>13190.839694656488</v>
      </c>
      <c r="X27" s="644"/>
      <c r="Y27" s="645"/>
      <c r="Z27" s="646"/>
      <c r="AA27" s="595"/>
      <c r="AB27" s="595"/>
      <c r="AC27" s="595"/>
      <c r="AD27" s="647"/>
      <c r="AF27" s="540"/>
    </row>
    <row r="28" spans="1:39" ht="12.75" customHeight="1">
      <c r="A28" s="766"/>
      <c r="B28" s="767" t="s">
        <v>434</v>
      </c>
      <c r="C28" s="759"/>
      <c r="D28" s="768">
        <v>3</v>
      </c>
      <c r="E28" s="769">
        <v>1000</v>
      </c>
      <c r="F28" s="770">
        <f t="shared" si="18"/>
        <v>3</v>
      </c>
      <c r="G28" s="771">
        <f t="shared" si="18"/>
        <v>1000</v>
      </c>
      <c r="H28" s="772">
        <f t="shared" si="18"/>
        <v>3</v>
      </c>
      <c r="I28" s="769">
        <f t="shared" si="18"/>
        <v>1000</v>
      </c>
      <c r="J28" s="770">
        <f t="shared" si="18"/>
        <v>3</v>
      </c>
      <c r="K28" s="771">
        <f t="shared" si="18"/>
        <v>1000</v>
      </c>
      <c r="L28" s="773">
        <v>3</v>
      </c>
      <c r="M28" s="769">
        <v>1500</v>
      </c>
      <c r="N28" s="770">
        <f t="shared" si="27"/>
        <v>3</v>
      </c>
      <c r="O28" s="802">
        <f t="shared" si="26"/>
        <v>1500</v>
      </c>
      <c r="P28" s="603"/>
      <c r="Q28" s="621">
        <f t="shared" si="19"/>
        <v>2748.0916030534349</v>
      </c>
      <c r="R28" s="622">
        <f t="shared" si="20"/>
        <v>2748.0916030534349</v>
      </c>
      <c r="S28" s="623">
        <f t="shared" si="21"/>
        <v>2748.0916030534349</v>
      </c>
      <c r="T28" s="622">
        <f t="shared" si="22"/>
        <v>2748.0916030534349</v>
      </c>
      <c r="U28" s="671">
        <f t="shared" si="23"/>
        <v>4122.1374045801522</v>
      </c>
      <c r="V28" s="671">
        <f t="shared" si="24"/>
        <v>4122.1374045801522</v>
      </c>
      <c r="W28" s="624">
        <f t="shared" si="25"/>
        <v>19236.641221374044</v>
      </c>
      <c r="X28" s="644"/>
      <c r="Y28" s="645"/>
      <c r="Z28" s="646"/>
      <c r="AA28" s="595"/>
      <c r="AB28" s="595"/>
      <c r="AC28" s="595"/>
      <c r="AD28" s="647"/>
      <c r="AF28" s="540"/>
    </row>
    <row r="29" spans="1:39" ht="12.75" customHeight="1">
      <c r="A29" s="766"/>
      <c r="B29" s="767" t="s">
        <v>435</v>
      </c>
      <c r="C29" s="759"/>
      <c r="D29" s="768">
        <v>3</v>
      </c>
      <c r="E29" s="769">
        <v>250</v>
      </c>
      <c r="F29" s="770">
        <f t="shared" si="18"/>
        <v>3</v>
      </c>
      <c r="G29" s="771">
        <f t="shared" si="18"/>
        <v>250</v>
      </c>
      <c r="H29" s="772">
        <f t="shared" si="18"/>
        <v>3</v>
      </c>
      <c r="I29" s="769">
        <f t="shared" si="18"/>
        <v>250</v>
      </c>
      <c r="J29" s="770">
        <f t="shared" si="18"/>
        <v>3</v>
      </c>
      <c r="K29" s="771">
        <f t="shared" si="18"/>
        <v>250</v>
      </c>
      <c r="L29" s="773">
        <v>3</v>
      </c>
      <c r="M29" s="769">
        <v>500</v>
      </c>
      <c r="N29" s="770">
        <f t="shared" si="27"/>
        <v>3</v>
      </c>
      <c r="O29" s="802">
        <f t="shared" si="26"/>
        <v>500</v>
      </c>
      <c r="P29" s="603"/>
      <c r="Q29" s="621">
        <f t="shared" si="19"/>
        <v>687.02290076335873</v>
      </c>
      <c r="R29" s="622">
        <f t="shared" si="20"/>
        <v>687.02290076335873</v>
      </c>
      <c r="S29" s="623">
        <f t="shared" si="21"/>
        <v>687.02290076335873</v>
      </c>
      <c r="T29" s="622">
        <f t="shared" si="22"/>
        <v>687.02290076335873</v>
      </c>
      <c r="U29" s="671">
        <f t="shared" si="23"/>
        <v>1374.0458015267175</v>
      </c>
      <c r="V29" s="671">
        <f t="shared" si="24"/>
        <v>1374.0458015267175</v>
      </c>
      <c r="W29" s="624">
        <f t="shared" si="25"/>
        <v>5496.1832061068699</v>
      </c>
      <c r="X29" s="644"/>
      <c r="Y29" s="645"/>
      <c r="Z29" s="646"/>
      <c r="AA29" s="595"/>
      <c r="AB29" s="595"/>
      <c r="AC29" s="595"/>
      <c r="AD29" s="647"/>
      <c r="AF29" s="540"/>
    </row>
    <row r="30" spans="1:39" ht="12.75" customHeight="1" thickBot="1">
      <c r="A30" s="774"/>
      <c r="B30" s="775" t="s">
        <v>436</v>
      </c>
      <c r="C30" s="759"/>
      <c r="D30" s="776"/>
      <c r="E30" s="796"/>
      <c r="F30" s="800">
        <f t="shared" si="18"/>
        <v>0</v>
      </c>
      <c r="G30" s="798">
        <f t="shared" si="18"/>
        <v>0</v>
      </c>
      <c r="H30" s="799">
        <f t="shared" si="18"/>
        <v>0</v>
      </c>
      <c r="I30" s="796">
        <f>+G30</f>
        <v>0</v>
      </c>
      <c r="J30" s="800">
        <f t="shared" si="18"/>
        <v>0</v>
      </c>
      <c r="K30" s="798">
        <f t="shared" si="18"/>
        <v>0</v>
      </c>
      <c r="L30" s="781">
        <v>3</v>
      </c>
      <c r="M30" s="796">
        <v>300</v>
      </c>
      <c r="N30" s="800">
        <f t="shared" si="27"/>
        <v>3</v>
      </c>
      <c r="O30" s="803">
        <f t="shared" si="26"/>
        <v>300</v>
      </c>
      <c r="P30" s="603"/>
      <c r="Q30" s="631">
        <f t="shared" si="19"/>
        <v>0</v>
      </c>
      <c r="R30" s="632">
        <f t="shared" si="20"/>
        <v>0</v>
      </c>
      <c r="S30" s="633">
        <f t="shared" si="21"/>
        <v>0</v>
      </c>
      <c r="T30" s="632">
        <f t="shared" si="22"/>
        <v>0</v>
      </c>
      <c r="U30" s="672">
        <f t="shared" si="23"/>
        <v>824.42748091603039</v>
      </c>
      <c r="V30" s="672">
        <f t="shared" si="24"/>
        <v>824.42748091603039</v>
      </c>
      <c r="W30" s="634">
        <f t="shared" si="25"/>
        <v>1648.8549618320608</v>
      </c>
      <c r="X30" s="644"/>
      <c r="Y30" s="645"/>
      <c r="Z30" s="646"/>
      <c r="AA30" s="595"/>
      <c r="AB30" s="595"/>
      <c r="AC30" s="595"/>
      <c r="AD30" s="647"/>
    </row>
    <row r="31" spans="1:39" ht="12.75" customHeight="1" thickBot="1">
      <c r="A31" s="782"/>
      <c r="B31" s="783"/>
      <c r="C31" s="759"/>
      <c r="D31" s="759"/>
      <c r="E31" s="759"/>
      <c r="F31" s="759"/>
      <c r="G31" s="759"/>
      <c r="H31" s="759"/>
      <c r="I31" s="759"/>
      <c r="J31" s="759"/>
      <c r="K31" s="759"/>
      <c r="L31" s="759"/>
      <c r="M31" s="759"/>
      <c r="N31" s="759"/>
      <c r="O31" s="759"/>
      <c r="P31" s="603"/>
      <c r="Q31" s="655">
        <f t="shared" ref="Q31:W31" si="28">SUM(Q25:Q30)</f>
        <v>9343.5114503816785</v>
      </c>
      <c r="R31" s="654">
        <f t="shared" si="28"/>
        <v>9343.5114503816785</v>
      </c>
      <c r="S31" s="654">
        <f t="shared" si="28"/>
        <v>9343.5114503816785</v>
      </c>
      <c r="T31" s="654">
        <f t="shared" si="28"/>
        <v>9343.5114503816785</v>
      </c>
      <c r="U31" s="654">
        <f t="shared" si="28"/>
        <v>13190.839694656486</v>
      </c>
      <c r="V31" s="654">
        <f t="shared" si="28"/>
        <v>14290.07633587786</v>
      </c>
      <c r="W31" s="654">
        <f t="shared" si="28"/>
        <v>64854.961832061068</v>
      </c>
      <c r="X31" s="602"/>
      <c r="Y31" s="628">
        <f>SUM(Y17:Y22)</f>
        <v>45243.199999999997</v>
      </c>
      <c r="Z31" s="595"/>
      <c r="AA31" s="595"/>
      <c r="AB31" s="595"/>
      <c r="AC31" s="595"/>
    </row>
    <row r="32" spans="1:39" ht="13.5" customHeight="1" thickBot="1">
      <c r="A32" s="782"/>
      <c r="B32" s="783"/>
      <c r="C32" s="759"/>
      <c r="D32" s="854" t="s">
        <v>11</v>
      </c>
      <c r="E32" s="848"/>
      <c r="F32" s="847" t="s">
        <v>12</v>
      </c>
      <c r="G32" s="848"/>
      <c r="H32" s="847" t="s">
        <v>13</v>
      </c>
      <c r="I32" s="848"/>
      <c r="J32" s="855" t="s">
        <v>14</v>
      </c>
      <c r="K32" s="856"/>
      <c r="L32" s="854" t="s">
        <v>11</v>
      </c>
      <c r="M32" s="848"/>
      <c r="N32" s="847" t="s">
        <v>12</v>
      </c>
      <c r="O32" s="848"/>
      <c r="P32" s="603"/>
      <c r="Q32" s="655"/>
      <c r="R32" s="654"/>
      <c r="S32" s="654"/>
      <c r="T32" s="654"/>
      <c r="U32" s="654"/>
      <c r="V32" s="654"/>
      <c r="W32" s="654"/>
      <c r="X32" s="602"/>
      <c r="Y32" s="628"/>
      <c r="Z32" s="595"/>
      <c r="AA32" s="595"/>
      <c r="AB32" s="595"/>
      <c r="AC32" s="595"/>
      <c r="AD32" s="595"/>
      <c r="AE32" s="595"/>
      <c r="AF32" s="595"/>
      <c r="AG32" s="595"/>
      <c r="AH32" s="595"/>
      <c r="AI32" s="595"/>
      <c r="AJ32" s="595"/>
      <c r="AK32" s="595"/>
      <c r="AL32" s="595"/>
      <c r="AM32" s="595"/>
    </row>
    <row r="33" spans="1:39" ht="12.75" customHeight="1">
      <c r="A33" s="785" t="s">
        <v>161</v>
      </c>
      <c r="B33" s="786" t="s">
        <v>446</v>
      </c>
      <c r="C33" s="759"/>
      <c r="D33" s="787"/>
      <c r="E33" s="788"/>
      <c r="F33" s="792">
        <v>2</v>
      </c>
      <c r="G33" s="790">
        <v>3600</v>
      </c>
      <c r="H33" s="791">
        <f t="shared" ref="H33:K34" si="29">+F33</f>
        <v>2</v>
      </c>
      <c r="I33" s="788">
        <f t="shared" si="29"/>
        <v>3600</v>
      </c>
      <c r="J33" s="792">
        <f t="shared" si="29"/>
        <v>2</v>
      </c>
      <c r="K33" s="790">
        <f t="shared" si="29"/>
        <v>3600</v>
      </c>
      <c r="L33" s="793">
        <v>4</v>
      </c>
      <c r="M33" s="788">
        <v>3600</v>
      </c>
      <c r="N33" s="792">
        <f t="shared" ref="N33:O33" si="30">+L33</f>
        <v>4</v>
      </c>
      <c r="O33" s="790">
        <f t="shared" si="30"/>
        <v>3600</v>
      </c>
      <c r="P33" s="603"/>
      <c r="Q33" s="638">
        <f t="shared" ref="Q33:Q34" si="31">$D33*$E33*3/$AF$1</f>
        <v>0</v>
      </c>
      <c r="R33" s="639">
        <f t="shared" ref="R33:R34" si="32">$F33*$G33*3/$AF$1</f>
        <v>6595.4198473282431</v>
      </c>
      <c r="S33" s="640">
        <f t="shared" ref="S33:S34" si="33">$H33*$I33*3/$AF$1</f>
        <v>6595.4198473282431</v>
      </c>
      <c r="T33" s="639">
        <f t="shared" ref="T33:T34" si="34">$J33*$K33*3/$AF$1</f>
        <v>6595.4198473282431</v>
      </c>
      <c r="U33" s="673">
        <f t="shared" ref="U33:U34" si="35">$L33*$M33*3/$AF$1</f>
        <v>13190.839694656486</v>
      </c>
      <c r="V33" s="673">
        <f t="shared" ref="V33:V34" si="36">$N33*$O33*3/$AF$1</f>
        <v>13190.839694656486</v>
      </c>
      <c r="W33" s="641">
        <f t="shared" ref="W33:W34" si="37">SUM(Q33:V33)</f>
        <v>46167.9389312977</v>
      </c>
      <c r="X33" s="642"/>
      <c r="Y33" s="643"/>
      <c r="Z33" s="619"/>
      <c r="AA33" s="595"/>
      <c r="AB33" s="595"/>
      <c r="AC33" s="595"/>
      <c r="AE33" s="620"/>
    </row>
    <row r="34" spans="1:39" ht="12.75" customHeight="1" thickBot="1">
      <c r="A34" s="774"/>
      <c r="B34" s="775" t="s">
        <v>447</v>
      </c>
      <c r="C34" s="759"/>
      <c r="D34" s="776"/>
      <c r="E34" s="796"/>
      <c r="F34" s="800">
        <f t="shared" ref="F34:G34" si="38">+D34</f>
        <v>0</v>
      </c>
      <c r="G34" s="798">
        <f t="shared" si="38"/>
        <v>0</v>
      </c>
      <c r="H34" s="799">
        <f t="shared" si="29"/>
        <v>0</v>
      </c>
      <c r="I34" s="796">
        <f t="shared" si="29"/>
        <v>0</v>
      </c>
      <c r="J34" s="800">
        <f t="shared" si="29"/>
        <v>0</v>
      </c>
      <c r="K34" s="798">
        <f t="shared" si="29"/>
        <v>0</v>
      </c>
      <c r="L34" s="781"/>
      <c r="M34" s="796"/>
      <c r="N34" s="800"/>
      <c r="O34" s="798"/>
      <c r="P34" s="603"/>
      <c r="Q34" s="631">
        <f t="shared" si="31"/>
        <v>0</v>
      </c>
      <c r="R34" s="632">
        <f t="shared" si="32"/>
        <v>0</v>
      </c>
      <c r="S34" s="633">
        <f t="shared" si="33"/>
        <v>0</v>
      </c>
      <c r="T34" s="632">
        <f t="shared" si="34"/>
        <v>0</v>
      </c>
      <c r="U34" s="672">
        <f t="shared" si="35"/>
        <v>0</v>
      </c>
      <c r="V34" s="672">
        <f t="shared" si="36"/>
        <v>0</v>
      </c>
      <c r="W34" s="634">
        <f t="shared" si="37"/>
        <v>0</v>
      </c>
      <c r="X34" s="644"/>
      <c r="Y34" s="645"/>
      <c r="Z34" s="646"/>
      <c r="AA34" s="595"/>
      <c r="AB34" s="595"/>
      <c r="AC34" s="595"/>
      <c r="AD34" s="647"/>
    </row>
    <row r="35" spans="1:39" ht="12.75" customHeight="1" thickBot="1">
      <c r="A35" s="782"/>
      <c r="B35" s="783"/>
      <c r="C35" s="759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603"/>
      <c r="Q35" s="654">
        <f t="shared" ref="Q35:W35" si="39">SUM(Q33:Q34)</f>
        <v>0</v>
      </c>
      <c r="R35" s="654">
        <f t="shared" si="39"/>
        <v>6595.4198473282431</v>
      </c>
      <c r="S35" s="654">
        <f t="shared" si="39"/>
        <v>6595.4198473282431</v>
      </c>
      <c r="T35" s="654">
        <f t="shared" si="39"/>
        <v>6595.4198473282431</v>
      </c>
      <c r="U35" s="654">
        <f t="shared" si="39"/>
        <v>13190.839694656486</v>
      </c>
      <c r="V35" s="654">
        <f t="shared" si="39"/>
        <v>13190.839694656486</v>
      </c>
      <c r="W35" s="654">
        <f t="shared" si="39"/>
        <v>46167.9389312977</v>
      </c>
      <c r="X35" s="602"/>
      <c r="Y35" s="628"/>
      <c r="Z35" s="595"/>
      <c r="AA35" s="595"/>
      <c r="AB35" s="595"/>
      <c r="AC35" s="595"/>
      <c r="AD35" s="595"/>
      <c r="AE35" s="595"/>
      <c r="AF35" s="595"/>
      <c r="AG35" s="595"/>
      <c r="AH35" s="595"/>
      <c r="AI35" s="595"/>
      <c r="AJ35" s="595"/>
      <c r="AK35" s="595"/>
      <c r="AL35" s="595"/>
      <c r="AM35" s="595"/>
    </row>
    <row r="36" spans="1:39" ht="13.5" customHeight="1" thickBot="1">
      <c r="A36" s="782"/>
      <c r="B36" s="783"/>
      <c r="C36" s="759"/>
      <c r="D36" s="854" t="s">
        <v>11</v>
      </c>
      <c r="E36" s="848"/>
      <c r="F36" s="847" t="s">
        <v>12</v>
      </c>
      <c r="G36" s="848"/>
      <c r="H36" s="847" t="s">
        <v>13</v>
      </c>
      <c r="I36" s="848"/>
      <c r="J36" s="855" t="s">
        <v>14</v>
      </c>
      <c r="K36" s="856"/>
      <c r="L36" s="854" t="s">
        <v>11</v>
      </c>
      <c r="M36" s="848"/>
      <c r="N36" s="847" t="s">
        <v>12</v>
      </c>
      <c r="O36" s="848"/>
      <c r="P36" s="603"/>
      <c r="Q36" s="655"/>
      <c r="R36" s="654"/>
      <c r="S36" s="654"/>
      <c r="T36" s="654"/>
      <c r="U36" s="654"/>
      <c r="V36" s="654"/>
      <c r="W36" s="654"/>
      <c r="X36" s="602"/>
      <c r="Y36" s="628"/>
      <c r="Z36" s="595"/>
      <c r="AA36" s="595"/>
      <c r="AB36" s="595"/>
      <c r="AC36" s="595"/>
    </row>
    <row r="37" spans="1:39" ht="25.5" customHeight="1">
      <c r="A37" s="804" t="s">
        <v>322</v>
      </c>
      <c r="B37" s="805" t="s">
        <v>226</v>
      </c>
      <c r="C37" s="759"/>
      <c r="D37" s="787"/>
      <c r="E37" s="788"/>
      <c r="F37" s="792">
        <f t="shared" ref="F37:K41" si="40">+D37</f>
        <v>0</v>
      </c>
      <c r="G37" s="790">
        <f t="shared" si="40"/>
        <v>0</v>
      </c>
      <c r="H37" s="791">
        <f t="shared" si="40"/>
        <v>0</v>
      </c>
      <c r="I37" s="788">
        <f t="shared" si="40"/>
        <v>0</v>
      </c>
      <c r="J37" s="792">
        <v>1</v>
      </c>
      <c r="K37" s="790">
        <v>6000</v>
      </c>
      <c r="L37" s="793"/>
      <c r="M37" s="788"/>
      <c r="N37" s="792">
        <f>+L37</f>
        <v>0</v>
      </c>
      <c r="O37" s="790">
        <f>+M37</f>
        <v>0</v>
      </c>
      <c r="P37" s="603"/>
      <c r="Q37" s="638">
        <f t="shared" ref="Q37:Q41" si="41">$D37*$E37*3/$AF$1</f>
        <v>0</v>
      </c>
      <c r="R37" s="639">
        <f t="shared" ref="R37:R41" si="42">$F37*$G37*3/$AF$1</f>
        <v>0</v>
      </c>
      <c r="S37" s="640">
        <f t="shared" ref="S37:S41" si="43">$H37*$I37*3/$AF$1</f>
        <v>0</v>
      </c>
      <c r="T37" s="639">
        <f t="shared" ref="T37:T41" si="44">$J37*$K37*3/$AF$1</f>
        <v>5496.1832061068699</v>
      </c>
      <c r="U37" s="639">
        <f t="shared" ref="U37:U41" si="45">$L37*$M37*3/$AF$1</f>
        <v>0</v>
      </c>
      <c r="V37" s="639">
        <f t="shared" ref="V37:V41" si="46">$N37*$O37*3/$AF$1</f>
        <v>0</v>
      </c>
      <c r="W37" s="656">
        <f t="shared" ref="W37:W41" si="47">SUM(Q37:V37)</f>
        <v>5496.1832061068699</v>
      </c>
      <c r="X37" s="627"/>
      <c r="Y37" s="628"/>
      <c r="Z37" s="595"/>
      <c r="AA37" s="595"/>
      <c r="AB37" s="595"/>
      <c r="AC37" s="595"/>
    </row>
    <row r="38" spans="1:39" ht="12.75" customHeight="1">
      <c r="A38" s="806"/>
      <c r="B38" s="807" t="s">
        <v>448</v>
      </c>
      <c r="C38" s="759"/>
      <c r="D38" s="768">
        <v>1</v>
      </c>
      <c r="E38" s="769">
        <v>3500</v>
      </c>
      <c r="F38" s="770">
        <v>1</v>
      </c>
      <c r="G38" s="771">
        <f t="shared" si="40"/>
        <v>3500</v>
      </c>
      <c r="H38" s="772">
        <v>1</v>
      </c>
      <c r="I38" s="769">
        <f t="shared" si="40"/>
        <v>3500</v>
      </c>
      <c r="J38" s="770">
        <v>1</v>
      </c>
      <c r="K38" s="771">
        <v>5000</v>
      </c>
      <c r="L38" s="773">
        <v>1</v>
      </c>
      <c r="M38" s="769">
        <v>5000</v>
      </c>
      <c r="N38" s="770">
        <v>1</v>
      </c>
      <c r="O38" s="771">
        <v>5000</v>
      </c>
      <c r="P38" s="603"/>
      <c r="Q38" s="621">
        <f t="shared" si="41"/>
        <v>3206.1068702290072</v>
      </c>
      <c r="R38" s="622">
        <f t="shared" si="42"/>
        <v>3206.1068702290072</v>
      </c>
      <c r="S38" s="623">
        <f t="shared" si="43"/>
        <v>3206.1068702290072</v>
      </c>
      <c r="T38" s="622">
        <f t="shared" si="44"/>
        <v>4580.1526717557244</v>
      </c>
      <c r="U38" s="622">
        <f t="shared" si="45"/>
        <v>4580.1526717557244</v>
      </c>
      <c r="V38" s="622">
        <f t="shared" si="46"/>
        <v>4580.1526717557244</v>
      </c>
      <c r="W38" s="657">
        <f t="shared" si="47"/>
        <v>23358.778625954194</v>
      </c>
      <c r="X38" s="658"/>
      <c r="Y38" s="628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5"/>
      <c r="AM38" s="595"/>
    </row>
    <row r="39" spans="1:39" ht="12.75" customHeight="1">
      <c r="A39" s="808"/>
      <c r="B39" s="809" t="s">
        <v>437</v>
      </c>
      <c r="C39" s="759"/>
      <c r="D39" s="768">
        <v>2</v>
      </c>
      <c r="E39" s="769">
        <v>320</v>
      </c>
      <c r="F39" s="770">
        <f t="shared" si="40"/>
        <v>2</v>
      </c>
      <c r="G39" s="771">
        <f t="shared" si="40"/>
        <v>320</v>
      </c>
      <c r="H39" s="772">
        <f t="shared" si="40"/>
        <v>2</v>
      </c>
      <c r="I39" s="769">
        <f t="shared" si="40"/>
        <v>320</v>
      </c>
      <c r="J39" s="770">
        <f t="shared" si="40"/>
        <v>2</v>
      </c>
      <c r="K39" s="771">
        <f t="shared" si="40"/>
        <v>320</v>
      </c>
      <c r="L39" s="773">
        <v>6</v>
      </c>
      <c r="M39" s="769">
        <v>320</v>
      </c>
      <c r="N39" s="770">
        <v>6</v>
      </c>
      <c r="O39" s="771">
        <f t="shared" ref="N39:O41" si="48">+M39</f>
        <v>320</v>
      </c>
      <c r="P39" s="603"/>
      <c r="Q39" s="621">
        <f t="shared" si="41"/>
        <v>586.25954198473278</v>
      </c>
      <c r="R39" s="622">
        <f t="shared" si="42"/>
        <v>586.25954198473278</v>
      </c>
      <c r="S39" s="623">
        <f t="shared" si="43"/>
        <v>586.25954198473278</v>
      </c>
      <c r="T39" s="622">
        <f t="shared" si="44"/>
        <v>586.25954198473278</v>
      </c>
      <c r="U39" s="622">
        <f t="shared" si="45"/>
        <v>1758.7786259541983</v>
      </c>
      <c r="V39" s="622">
        <f t="shared" si="46"/>
        <v>1758.7786259541983</v>
      </c>
      <c r="W39" s="657">
        <f t="shared" si="47"/>
        <v>5862.5954198473273</v>
      </c>
      <c r="X39" s="644"/>
      <c r="Y39" s="628"/>
      <c r="Z39" s="595"/>
      <c r="AA39" s="595"/>
      <c r="AB39" s="595"/>
      <c r="AC39" s="595"/>
    </row>
    <row r="40" spans="1:39" ht="12.75" customHeight="1">
      <c r="A40" s="808"/>
      <c r="B40" s="809" t="s">
        <v>62</v>
      </c>
      <c r="C40" s="759"/>
      <c r="D40" s="768">
        <v>5</v>
      </c>
      <c r="E40" s="769">
        <v>390</v>
      </c>
      <c r="F40" s="770">
        <v>6</v>
      </c>
      <c r="G40" s="771">
        <f t="shared" si="40"/>
        <v>390</v>
      </c>
      <c r="H40" s="772">
        <f t="shared" si="40"/>
        <v>6</v>
      </c>
      <c r="I40" s="769">
        <f t="shared" si="40"/>
        <v>390</v>
      </c>
      <c r="J40" s="770">
        <f t="shared" si="40"/>
        <v>6</v>
      </c>
      <c r="K40" s="771">
        <f t="shared" si="40"/>
        <v>390</v>
      </c>
      <c r="L40" s="773">
        <v>10</v>
      </c>
      <c r="M40" s="769">
        <v>390</v>
      </c>
      <c r="N40" s="770">
        <v>10</v>
      </c>
      <c r="O40" s="771">
        <f t="shared" si="48"/>
        <v>390</v>
      </c>
      <c r="P40" s="603"/>
      <c r="Q40" s="621">
        <f t="shared" si="41"/>
        <v>1786.2595419847326</v>
      </c>
      <c r="R40" s="622">
        <f t="shared" si="42"/>
        <v>2143.511450381679</v>
      </c>
      <c r="S40" s="623">
        <f t="shared" si="43"/>
        <v>2143.511450381679</v>
      </c>
      <c r="T40" s="622">
        <f t="shared" si="44"/>
        <v>2143.511450381679</v>
      </c>
      <c r="U40" s="622">
        <f t="shared" si="45"/>
        <v>3572.5190839694651</v>
      </c>
      <c r="V40" s="622">
        <f t="shared" si="46"/>
        <v>3572.5190839694651</v>
      </c>
      <c r="W40" s="657">
        <f t="shared" si="47"/>
        <v>15361.832061068701</v>
      </c>
      <c r="X40" s="644"/>
      <c r="Y40" s="628"/>
      <c r="Z40" s="595"/>
      <c r="AA40" s="595"/>
      <c r="AB40" s="595"/>
      <c r="AC40" s="595"/>
    </row>
    <row r="41" spans="1:39" ht="13.5" customHeight="1" thickBot="1">
      <c r="A41" s="810"/>
      <c r="B41" s="811" t="s">
        <v>438</v>
      </c>
      <c r="C41" s="759"/>
      <c r="D41" s="776">
        <v>3</v>
      </c>
      <c r="E41" s="796">
        <v>400</v>
      </c>
      <c r="F41" s="800">
        <f t="shared" si="40"/>
        <v>3</v>
      </c>
      <c r="G41" s="798">
        <f t="shared" si="40"/>
        <v>400</v>
      </c>
      <c r="H41" s="799">
        <f t="shared" si="40"/>
        <v>3</v>
      </c>
      <c r="I41" s="796">
        <f t="shared" si="40"/>
        <v>400</v>
      </c>
      <c r="J41" s="800">
        <f t="shared" si="40"/>
        <v>3</v>
      </c>
      <c r="K41" s="798">
        <f t="shared" si="40"/>
        <v>400</v>
      </c>
      <c r="L41" s="781">
        <v>3</v>
      </c>
      <c r="M41" s="796">
        <v>400</v>
      </c>
      <c r="N41" s="800">
        <f t="shared" si="48"/>
        <v>3</v>
      </c>
      <c r="O41" s="798">
        <f t="shared" si="48"/>
        <v>400</v>
      </c>
      <c r="P41" s="603"/>
      <c r="Q41" s="631">
        <f t="shared" si="41"/>
        <v>1099.2366412213739</v>
      </c>
      <c r="R41" s="632">
        <f t="shared" si="42"/>
        <v>1099.2366412213739</v>
      </c>
      <c r="S41" s="633">
        <f t="shared" si="43"/>
        <v>1099.2366412213739</v>
      </c>
      <c r="T41" s="632">
        <f t="shared" si="44"/>
        <v>1099.2366412213739</v>
      </c>
      <c r="U41" s="632">
        <f t="shared" si="45"/>
        <v>1099.2366412213739</v>
      </c>
      <c r="V41" s="632">
        <f t="shared" si="46"/>
        <v>1099.2366412213739</v>
      </c>
      <c r="W41" s="659">
        <f t="shared" si="47"/>
        <v>6595.419847328244</v>
      </c>
      <c r="X41" s="635"/>
      <c r="Y41" s="628"/>
      <c r="Z41" s="595"/>
      <c r="AA41" s="595"/>
      <c r="AB41" s="595"/>
      <c r="AC41" s="595"/>
    </row>
    <row r="42" spans="1:39" ht="12.75" customHeight="1" thickBot="1">
      <c r="A42" s="782"/>
      <c r="B42" s="783"/>
      <c r="C42" s="759"/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N42" s="784"/>
      <c r="O42" s="784"/>
      <c r="P42" s="603"/>
      <c r="Q42" s="628">
        <f t="shared" ref="Q42:W42" si="49">SUM(Q37:Q41)</f>
        <v>6677.8625954198469</v>
      </c>
      <c r="R42" s="628">
        <f t="shared" si="49"/>
        <v>7035.1145038167924</v>
      </c>
      <c r="S42" s="628">
        <f t="shared" si="49"/>
        <v>7035.1145038167924</v>
      </c>
      <c r="T42" s="628">
        <f t="shared" si="49"/>
        <v>13905.343511450381</v>
      </c>
      <c r="U42" s="628">
        <f t="shared" si="49"/>
        <v>11010.687022900762</v>
      </c>
      <c r="V42" s="628">
        <f t="shared" si="49"/>
        <v>11010.687022900762</v>
      </c>
      <c r="W42" s="636">
        <f t="shared" si="49"/>
        <v>56674.80916030534</v>
      </c>
      <c r="X42" s="636"/>
      <c r="Y42" s="628"/>
      <c r="Z42" s="595"/>
      <c r="AA42" s="595"/>
      <c r="AB42" s="595"/>
      <c r="AC42" s="595"/>
    </row>
    <row r="43" spans="1:39" ht="13.5" customHeight="1" thickBot="1">
      <c r="A43" s="782"/>
      <c r="B43" s="783"/>
      <c r="C43" s="759"/>
      <c r="D43" s="854" t="s">
        <v>11</v>
      </c>
      <c r="E43" s="848"/>
      <c r="F43" s="847" t="s">
        <v>12</v>
      </c>
      <c r="G43" s="848"/>
      <c r="H43" s="847" t="s">
        <v>13</v>
      </c>
      <c r="I43" s="848"/>
      <c r="J43" s="855" t="s">
        <v>14</v>
      </c>
      <c r="K43" s="856"/>
      <c r="L43" s="854" t="s">
        <v>11</v>
      </c>
      <c r="M43" s="848"/>
      <c r="N43" s="847" t="s">
        <v>12</v>
      </c>
      <c r="O43" s="848"/>
      <c r="P43" s="603"/>
      <c r="Q43" s="655"/>
      <c r="R43" s="654"/>
      <c r="S43" s="654"/>
      <c r="T43" s="654"/>
      <c r="U43" s="654"/>
      <c r="V43" s="654"/>
      <c r="W43" s="654"/>
      <c r="X43" s="602"/>
      <c r="Y43" s="628"/>
      <c r="Z43" s="595"/>
      <c r="AA43" s="595"/>
      <c r="AB43" s="595"/>
      <c r="AC43" s="595"/>
    </row>
    <row r="44" spans="1:39" ht="12.75" customHeight="1">
      <c r="A44" s="812" t="s">
        <v>160</v>
      </c>
      <c r="B44" s="805" t="s">
        <v>160</v>
      </c>
      <c r="C44" s="759"/>
      <c r="D44" s="787"/>
      <c r="E44" s="788"/>
      <c r="F44" s="792">
        <f t="shared" ref="F44:K46" si="50">+D44</f>
        <v>0</v>
      </c>
      <c r="G44" s="790">
        <f t="shared" si="50"/>
        <v>0</v>
      </c>
      <c r="H44" s="791">
        <f t="shared" si="50"/>
        <v>0</v>
      </c>
      <c r="I44" s="788">
        <f t="shared" si="50"/>
        <v>0</v>
      </c>
      <c r="J44" s="792">
        <f t="shared" si="50"/>
        <v>0</v>
      </c>
      <c r="K44" s="790">
        <f t="shared" si="50"/>
        <v>0</v>
      </c>
      <c r="L44" s="793">
        <v>3</v>
      </c>
      <c r="M44" s="788">
        <v>350</v>
      </c>
      <c r="N44" s="792">
        <f t="shared" ref="N44:O46" si="51">+L44</f>
        <v>3</v>
      </c>
      <c r="O44" s="790">
        <f t="shared" si="51"/>
        <v>350</v>
      </c>
      <c r="P44" s="603"/>
      <c r="Q44" s="638">
        <f t="shared" ref="Q44:Q46" si="52">$D44*$E44*3/$AF$1</f>
        <v>0</v>
      </c>
      <c r="R44" s="639">
        <f t="shared" ref="R44:R46" si="53">$F44*$G44*3/$AF$1</f>
        <v>0</v>
      </c>
      <c r="S44" s="640">
        <f t="shared" ref="S44:S46" si="54">$H44*$I44*3/$AF$1</f>
        <v>0</v>
      </c>
      <c r="T44" s="639">
        <f t="shared" ref="T44:T46" si="55">$J44*$K44*3/$AF$1</f>
        <v>0</v>
      </c>
      <c r="U44" s="639">
        <f t="shared" ref="U44:U46" si="56">$L44*$M44*3/$AF$1</f>
        <v>961.83206106870216</v>
      </c>
      <c r="V44" s="639">
        <f t="shared" ref="V44:V46" si="57">$N44*$O44*3/$AF$1</f>
        <v>961.83206106870216</v>
      </c>
      <c r="W44" s="656">
        <f t="shared" ref="W44:W46" si="58">SUM(Q44:V44)</f>
        <v>1923.6641221374043</v>
      </c>
      <c r="X44" s="627"/>
      <c r="Y44" s="628"/>
      <c r="Z44" s="595"/>
      <c r="AA44" s="595"/>
      <c r="AB44" s="595"/>
      <c r="AC44" s="595"/>
    </row>
    <row r="45" spans="1:39" ht="12.75" customHeight="1">
      <c r="A45" s="808"/>
      <c r="B45" s="813" t="s">
        <v>330</v>
      </c>
      <c r="C45" s="759"/>
      <c r="D45" s="768"/>
      <c r="E45" s="769"/>
      <c r="F45" s="770">
        <f t="shared" si="50"/>
        <v>0</v>
      </c>
      <c r="G45" s="771">
        <f t="shared" si="50"/>
        <v>0</v>
      </c>
      <c r="H45" s="772">
        <f t="shared" si="50"/>
        <v>0</v>
      </c>
      <c r="I45" s="769">
        <f t="shared" si="50"/>
        <v>0</v>
      </c>
      <c r="J45" s="770">
        <f t="shared" si="50"/>
        <v>0</v>
      </c>
      <c r="K45" s="771">
        <f t="shared" si="50"/>
        <v>0</v>
      </c>
      <c r="L45" s="773"/>
      <c r="M45" s="769"/>
      <c r="N45" s="770">
        <f t="shared" si="51"/>
        <v>0</v>
      </c>
      <c r="O45" s="771">
        <f t="shared" si="51"/>
        <v>0</v>
      </c>
      <c r="P45" s="603"/>
      <c r="Q45" s="621">
        <f t="shared" si="52"/>
        <v>0</v>
      </c>
      <c r="R45" s="622">
        <f t="shared" si="53"/>
        <v>0</v>
      </c>
      <c r="S45" s="623">
        <f t="shared" si="54"/>
        <v>0</v>
      </c>
      <c r="T45" s="622">
        <f t="shared" si="55"/>
        <v>0</v>
      </c>
      <c r="U45" s="622">
        <f t="shared" si="56"/>
        <v>0</v>
      </c>
      <c r="V45" s="622">
        <f t="shared" si="57"/>
        <v>0</v>
      </c>
      <c r="W45" s="657">
        <f t="shared" si="58"/>
        <v>0</v>
      </c>
      <c r="X45" s="648"/>
      <c r="Y45" s="628"/>
      <c r="Z45" s="595"/>
      <c r="AA45" s="595"/>
      <c r="AB45" s="595"/>
      <c r="AC45" s="595"/>
    </row>
    <row r="46" spans="1:39" ht="13.5" customHeight="1" thickBot="1">
      <c r="A46" s="810"/>
      <c r="B46" s="811"/>
      <c r="C46" s="759"/>
      <c r="D46" s="776"/>
      <c r="E46" s="796"/>
      <c r="F46" s="800">
        <f t="shared" si="50"/>
        <v>0</v>
      </c>
      <c r="G46" s="798">
        <f t="shared" si="50"/>
        <v>0</v>
      </c>
      <c r="H46" s="799">
        <f t="shared" si="50"/>
        <v>0</v>
      </c>
      <c r="I46" s="796">
        <f t="shared" si="50"/>
        <v>0</v>
      </c>
      <c r="J46" s="800">
        <f t="shared" si="50"/>
        <v>0</v>
      </c>
      <c r="K46" s="798">
        <f t="shared" si="50"/>
        <v>0</v>
      </c>
      <c r="L46" s="781"/>
      <c r="M46" s="796"/>
      <c r="N46" s="800">
        <f t="shared" si="51"/>
        <v>0</v>
      </c>
      <c r="O46" s="798">
        <f t="shared" si="51"/>
        <v>0</v>
      </c>
      <c r="P46" s="603"/>
      <c r="Q46" s="631">
        <f t="shared" si="52"/>
        <v>0</v>
      </c>
      <c r="R46" s="632">
        <f t="shared" si="53"/>
        <v>0</v>
      </c>
      <c r="S46" s="633">
        <f t="shared" si="54"/>
        <v>0</v>
      </c>
      <c r="T46" s="632">
        <f t="shared" si="55"/>
        <v>0</v>
      </c>
      <c r="U46" s="632">
        <f t="shared" si="56"/>
        <v>0</v>
      </c>
      <c r="V46" s="632">
        <f t="shared" si="57"/>
        <v>0</v>
      </c>
      <c r="W46" s="659">
        <f t="shared" si="58"/>
        <v>0</v>
      </c>
      <c r="X46" s="635"/>
      <c r="Y46" s="628"/>
      <c r="Z46" s="595"/>
      <c r="AA46" s="595"/>
      <c r="AB46" s="595"/>
      <c r="AC46" s="595"/>
    </row>
    <row r="47" spans="1:39" ht="12.75" customHeight="1" thickBot="1">
      <c r="A47" s="782"/>
      <c r="B47" s="783"/>
      <c r="C47" s="759"/>
      <c r="D47" s="784"/>
      <c r="E47" s="784"/>
      <c r="F47" s="784"/>
      <c r="G47" s="784"/>
      <c r="H47" s="784"/>
      <c r="I47" s="784"/>
      <c r="J47" s="784"/>
      <c r="K47" s="784"/>
      <c r="L47" s="784"/>
      <c r="M47" s="784"/>
      <c r="N47" s="784"/>
      <c r="O47" s="784"/>
      <c r="P47" s="603"/>
      <c r="Q47" s="628">
        <f t="shared" ref="Q47:W47" si="59">SUM(Q44:Q46)</f>
        <v>0</v>
      </c>
      <c r="R47" s="628">
        <f t="shared" si="59"/>
        <v>0</v>
      </c>
      <c r="S47" s="628">
        <f t="shared" si="59"/>
        <v>0</v>
      </c>
      <c r="T47" s="628">
        <f t="shared" si="59"/>
        <v>0</v>
      </c>
      <c r="U47" s="628">
        <f t="shared" si="59"/>
        <v>961.83206106870216</v>
      </c>
      <c r="V47" s="628">
        <f t="shared" si="59"/>
        <v>961.83206106870216</v>
      </c>
      <c r="W47" s="636">
        <f t="shared" si="59"/>
        <v>1923.6641221374043</v>
      </c>
      <c r="X47" s="636"/>
      <c r="Y47" s="628"/>
      <c r="Z47" s="595"/>
      <c r="AA47" s="595"/>
      <c r="AB47" s="595"/>
      <c r="AC47" s="595"/>
    </row>
    <row r="48" spans="1:39" ht="13.5" customHeight="1" thickBot="1">
      <c r="A48" s="782"/>
      <c r="B48" s="783"/>
      <c r="C48" s="759"/>
      <c r="D48" s="854" t="s">
        <v>11</v>
      </c>
      <c r="E48" s="848"/>
      <c r="F48" s="847" t="s">
        <v>12</v>
      </c>
      <c r="G48" s="848"/>
      <c r="H48" s="847" t="s">
        <v>13</v>
      </c>
      <c r="I48" s="848"/>
      <c r="J48" s="855" t="s">
        <v>14</v>
      </c>
      <c r="K48" s="856"/>
      <c r="L48" s="854" t="s">
        <v>11</v>
      </c>
      <c r="M48" s="848"/>
      <c r="N48" s="847" t="s">
        <v>12</v>
      </c>
      <c r="O48" s="848"/>
      <c r="P48" s="603"/>
      <c r="Q48" s="637"/>
      <c r="R48" s="637"/>
      <c r="S48" s="637"/>
      <c r="T48" s="637"/>
      <c r="U48" s="637"/>
      <c r="V48" s="637"/>
      <c r="W48" s="636"/>
      <c r="X48" s="636"/>
      <c r="Y48" s="628"/>
      <c r="Z48" s="595"/>
      <c r="AA48" s="595"/>
      <c r="AB48" s="595"/>
      <c r="AC48" s="595"/>
    </row>
    <row r="49" spans="1:30" ht="12.75" customHeight="1">
      <c r="A49" s="812" t="s">
        <v>213</v>
      </c>
      <c r="B49" s="805" t="s">
        <v>217</v>
      </c>
      <c r="C49" s="759"/>
      <c r="D49" s="787">
        <v>3</v>
      </c>
      <c r="E49" s="788">
        <v>700</v>
      </c>
      <c r="F49" s="792">
        <f t="shared" ref="F49:K52" si="60">+D49</f>
        <v>3</v>
      </c>
      <c r="G49" s="790">
        <f t="shared" si="60"/>
        <v>700</v>
      </c>
      <c r="H49" s="791">
        <f t="shared" si="60"/>
        <v>3</v>
      </c>
      <c r="I49" s="788">
        <f t="shared" si="60"/>
        <v>700</v>
      </c>
      <c r="J49" s="792">
        <f t="shared" si="60"/>
        <v>3</v>
      </c>
      <c r="K49" s="790">
        <f t="shared" si="60"/>
        <v>700</v>
      </c>
      <c r="L49" s="793">
        <v>3</v>
      </c>
      <c r="M49" s="788">
        <v>1000</v>
      </c>
      <c r="N49" s="792">
        <f t="shared" ref="N49:O52" si="61">+L49</f>
        <v>3</v>
      </c>
      <c r="O49" s="790">
        <f t="shared" si="61"/>
        <v>1000</v>
      </c>
      <c r="P49" s="603"/>
      <c r="Q49" s="638">
        <f t="shared" ref="Q49:Q52" si="62">$D49*$E49*3/$AF$1</f>
        <v>1923.6641221374043</v>
      </c>
      <c r="R49" s="639">
        <f t="shared" ref="R49:R52" si="63">$F49*$G49*3/$AF$1</f>
        <v>1923.6641221374043</v>
      </c>
      <c r="S49" s="640">
        <f t="shared" ref="S49:S52" si="64">$H49*$I49*3/$AF$1</f>
        <v>1923.6641221374043</v>
      </c>
      <c r="T49" s="639">
        <f t="shared" ref="T49:T52" si="65">$J49*$K49*3/$AF$1</f>
        <v>1923.6641221374043</v>
      </c>
      <c r="U49" s="639">
        <f t="shared" ref="U49:U52" si="66">$L49*$M49*3/$AF$1</f>
        <v>2748.0916030534349</v>
      </c>
      <c r="V49" s="639">
        <f t="shared" ref="V49:V52" si="67">$N49*$O49*3/$AF$1</f>
        <v>2748.0916030534349</v>
      </c>
      <c r="W49" s="641">
        <f t="shared" ref="W49:W52" si="68">SUM(Q49:V49)</f>
        <v>13190.839694656488</v>
      </c>
      <c r="X49" s="627"/>
      <c r="Y49" s="628"/>
      <c r="Z49" s="595"/>
      <c r="AA49" s="595"/>
      <c r="AB49" s="595"/>
      <c r="AC49" s="595"/>
    </row>
    <row r="50" spans="1:30" ht="12.75" customHeight="1">
      <c r="A50" s="808"/>
      <c r="B50" s="809" t="s">
        <v>218</v>
      </c>
      <c r="C50" s="759"/>
      <c r="D50" s="768">
        <v>3</v>
      </c>
      <c r="E50" s="769">
        <v>500</v>
      </c>
      <c r="F50" s="770">
        <f t="shared" si="60"/>
        <v>3</v>
      </c>
      <c r="G50" s="771">
        <f t="shared" si="60"/>
        <v>500</v>
      </c>
      <c r="H50" s="772">
        <f t="shared" si="60"/>
        <v>3</v>
      </c>
      <c r="I50" s="769">
        <f t="shared" si="60"/>
        <v>500</v>
      </c>
      <c r="J50" s="770">
        <f t="shared" si="60"/>
        <v>3</v>
      </c>
      <c r="K50" s="771">
        <f t="shared" si="60"/>
        <v>500</v>
      </c>
      <c r="L50" s="773">
        <v>3</v>
      </c>
      <c r="M50" s="769">
        <v>600</v>
      </c>
      <c r="N50" s="770">
        <f t="shared" si="61"/>
        <v>3</v>
      </c>
      <c r="O50" s="771">
        <f t="shared" si="61"/>
        <v>600</v>
      </c>
      <c r="P50" s="603"/>
      <c r="Q50" s="621">
        <f t="shared" si="62"/>
        <v>1374.0458015267175</v>
      </c>
      <c r="R50" s="622">
        <f t="shared" si="63"/>
        <v>1374.0458015267175</v>
      </c>
      <c r="S50" s="623">
        <f t="shared" si="64"/>
        <v>1374.0458015267175</v>
      </c>
      <c r="T50" s="622">
        <f t="shared" si="65"/>
        <v>1374.0458015267175</v>
      </c>
      <c r="U50" s="622">
        <f t="shared" si="66"/>
        <v>1648.8549618320608</v>
      </c>
      <c r="V50" s="622">
        <f t="shared" si="67"/>
        <v>1648.8549618320608</v>
      </c>
      <c r="W50" s="624">
        <f t="shared" si="68"/>
        <v>8793.8931297709914</v>
      </c>
      <c r="X50" s="644"/>
      <c r="Y50" s="628"/>
      <c r="Z50" s="595"/>
      <c r="AA50" s="595"/>
      <c r="AB50" s="595"/>
      <c r="AC50" s="595"/>
    </row>
    <row r="51" spans="1:30" ht="12.75" customHeight="1">
      <c r="A51" s="808"/>
      <c r="B51" s="809" t="s">
        <v>219</v>
      </c>
      <c r="C51" s="759"/>
      <c r="D51" s="768">
        <v>1</v>
      </c>
      <c r="E51" s="769">
        <v>2000</v>
      </c>
      <c r="F51" s="770">
        <f t="shared" si="60"/>
        <v>1</v>
      </c>
      <c r="G51" s="771">
        <f t="shared" si="60"/>
        <v>2000</v>
      </c>
      <c r="H51" s="772">
        <f t="shared" si="60"/>
        <v>1</v>
      </c>
      <c r="I51" s="769">
        <f t="shared" si="60"/>
        <v>2000</v>
      </c>
      <c r="J51" s="770">
        <f t="shared" si="60"/>
        <v>1</v>
      </c>
      <c r="K51" s="771">
        <f t="shared" si="60"/>
        <v>2000</v>
      </c>
      <c r="L51" s="773">
        <v>1</v>
      </c>
      <c r="M51" s="769">
        <v>2500</v>
      </c>
      <c r="N51" s="770">
        <f t="shared" si="61"/>
        <v>1</v>
      </c>
      <c r="O51" s="771">
        <f t="shared" si="61"/>
        <v>2500</v>
      </c>
      <c r="P51" s="603"/>
      <c r="Q51" s="621">
        <f t="shared" si="62"/>
        <v>1832.06106870229</v>
      </c>
      <c r="R51" s="622">
        <f t="shared" si="63"/>
        <v>1832.06106870229</v>
      </c>
      <c r="S51" s="623">
        <f t="shared" si="64"/>
        <v>1832.06106870229</v>
      </c>
      <c r="T51" s="622">
        <f t="shared" si="65"/>
        <v>1832.06106870229</v>
      </c>
      <c r="U51" s="622">
        <f t="shared" si="66"/>
        <v>2290.0763358778622</v>
      </c>
      <c r="V51" s="622">
        <f t="shared" si="67"/>
        <v>2290.0763358778622</v>
      </c>
      <c r="W51" s="624">
        <f t="shared" si="68"/>
        <v>11908.396946564884</v>
      </c>
      <c r="X51" s="644"/>
      <c r="Y51" s="628"/>
      <c r="Z51" s="595"/>
      <c r="AA51" s="595"/>
      <c r="AB51" s="595"/>
      <c r="AC51" s="595"/>
    </row>
    <row r="52" spans="1:30" ht="13.5" customHeight="1" thickBot="1">
      <c r="A52" s="810"/>
      <c r="B52" s="811" t="s">
        <v>439</v>
      </c>
      <c r="C52" s="759"/>
      <c r="D52" s="776">
        <v>3</v>
      </c>
      <c r="E52" s="796">
        <v>200</v>
      </c>
      <c r="F52" s="800">
        <f t="shared" si="60"/>
        <v>3</v>
      </c>
      <c r="G52" s="798">
        <f t="shared" si="60"/>
        <v>200</v>
      </c>
      <c r="H52" s="799">
        <f t="shared" si="60"/>
        <v>3</v>
      </c>
      <c r="I52" s="796">
        <f t="shared" si="60"/>
        <v>200</v>
      </c>
      <c r="J52" s="800">
        <f t="shared" si="60"/>
        <v>3</v>
      </c>
      <c r="K52" s="798">
        <f t="shared" si="60"/>
        <v>200</v>
      </c>
      <c r="L52" s="781">
        <v>3</v>
      </c>
      <c r="M52" s="796">
        <v>400</v>
      </c>
      <c r="N52" s="800">
        <f t="shared" si="61"/>
        <v>3</v>
      </c>
      <c r="O52" s="798">
        <f t="shared" si="61"/>
        <v>400</v>
      </c>
      <c r="P52" s="603"/>
      <c r="Q52" s="631">
        <f t="shared" si="62"/>
        <v>549.61832061068696</v>
      </c>
      <c r="R52" s="632">
        <f t="shared" si="63"/>
        <v>549.61832061068696</v>
      </c>
      <c r="S52" s="633">
        <f t="shared" si="64"/>
        <v>549.61832061068696</v>
      </c>
      <c r="T52" s="632">
        <f t="shared" si="65"/>
        <v>549.61832061068696</v>
      </c>
      <c r="U52" s="632">
        <f t="shared" si="66"/>
        <v>1099.2366412213739</v>
      </c>
      <c r="V52" s="632">
        <f t="shared" si="67"/>
        <v>1099.2366412213739</v>
      </c>
      <c r="W52" s="634">
        <f t="shared" si="68"/>
        <v>4396.9465648854957</v>
      </c>
      <c r="X52" s="648"/>
      <c r="Y52" s="628"/>
      <c r="Z52" s="595"/>
      <c r="AA52" s="595"/>
      <c r="AB52" s="595"/>
      <c r="AC52" s="595"/>
    </row>
    <row r="53" spans="1:30" ht="12.75" customHeight="1" thickBot="1">
      <c r="A53" s="782"/>
      <c r="B53" s="783"/>
      <c r="C53" s="759"/>
      <c r="D53" s="784"/>
      <c r="E53" s="784"/>
      <c r="F53" s="784"/>
      <c r="G53" s="784"/>
      <c r="H53" s="784"/>
      <c r="I53" s="784"/>
      <c r="J53" s="784"/>
      <c r="K53" s="784"/>
      <c r="L53" s="784"/>
      <c r="M53" s="784"/>
      <c r="N53" s="784"/>
      <c r="O53" s="784"/>
      <c r="P53" s="603"/>
      <c r="Q53" s="628">
        <f t="shared" ref="Q53:W53" si="69">SUM(Q49:Q52)</f>
        <v>5679.3893129770986</v>
      </c>
      <c r="R53" s="628">
        <f t="shared" si="69"/>
        <v>5679.3893129770986</v>
      </c>
      <c r="S53" s="628">
        <f t="shared" si="69"/>
        <v>5679.3893129770986</v>
      </c>
      <c r="T53" s="628">
        <f t="shared" si="69"/>
        <v>5679.3893129770986</v>
      </c>
      <c r="U53" s="628">
        <f t="shared" si="69"/>
        <v>7786.2595419847321</v>
      </c>
      <c r="V53" s="628">
        <f t="shared" si="69"/>
        <v>7786.2595419847321</v>
      </c>
      <c r="W53" s="636">
        <f t="shared" si="69"/>
        <v>38290.076335877864</v>
      </c>
      <c r="X53" s="636"/>
      <c r="Y53" s="628"/>
      <c r="Z53" s="595"/>
      <c r="AA53" s="595"/>
      <c r="AB53" s="595"/>
      <c r="AC53" s="595"/>
      <c r="AD53" s="594"/>
    </row>
    <row r="54" spans="1:30" ht="13.5" customHeight="1" thickBot="1">
      <c r="A54" s="782"/>
      <c r="B54" s="783"/>
      <c r="C54" s="759"/>
      <c r="D54" s="854" t="s">
        <v>11</v>
      </c>
      <c r="E54" s="848"/>
      <c r="F54" s="847" t="s">
        <v>12</v>
      </c>
      <c r="G54" s="848"/>
      <c r="H54" s="847" t="s">
        <v>13</v>
      </c>
      <c r="I54" s="848"/>
      <c r="J54" s="855" t="s">
        <v>14</v>
      </c>
      <c r="K54" s="856"/>
      <c r="L54" s="854" t="s">
        <v>11</v>
      </c>
      <c r="M54" s="848"/>
      <c r="N54" s="847" t="s">
        <v>12</v>
      </c>
      <c r="O54" s="848"/>
      <c r="P54" s="603"/>
      <c r="Q54" s="637"/>
      <c r="R54" s="637"/>
      <c r="S54" s="637"/>
      <c r="T54" s="637"/>
      <c r="U54" s="637"/>
      <c r="V54" s="637"/>
      <c r="W54" s="636"/>
      <c r="X54" s="636"/>
      <c r="Y54" s="628"/>
      <c r="Z54" s="595"/>
      <c r="AA54" s="595"/>
      <c r="AB54" s="595"/>
      <c r="AC54" s="595"/>
    </row>
    <row r="55" spans="1:30" ht="25.5" customHeight="1">
      <c r="A55" s="804" t="s">
        <v>215</v>
      </c>
      <c r="B55" s="805" t="s">
        <v>440</v>
      </c>
      <c r="C55" s="759"/>
      <c r="D55" s="787">
        <v>3</v>
      </c>
      <c r="E55" s="788">
        <v>80</v>
      </c>
      <c r="F55" s="792">
        <f t="shared" ref="F55:K57" si="70">+D55</f>
        <v>3</v>
      </c>
      <c r="G55" s="790">
        <f t="shared" si="70"/>
        <v>80</v>
      </c>
      <c r="H55" s="791">
        <f t="shared" si="70"/>
        <v>3</v>
      </c>
      <c r="I55" s="788">
        <f t="shared" si="70"/>
        <v>80</v>
      </c>
      <c r="J55" s="792">
        <f t="shared" si="70"/>
        <v>3</v>
      </c>
      <c r="K55" s="790">
        <f t="shared" si="70"/>
        <v>80</v>
      </c>
      <c r="L55" s="793">
        <v>3</v>
      </c>
      <c r="M55" s="788">
        <v>100</v>
      </c>
      <c r="N55" s="792">
        <f t="shared" ref="N55:O56" si="71">+L55</f>
        <v>3</v>
      </c>
      <c r="O55" s="790">
        <f t="shared" si="71"/>
        <v>100</v>
      </c>
      <c r="P55" s="603"/>
      <c r="Q55" s="638">
        <f t="shared" ref="Q55:Q57" si="72">$D55*$E55*3/$AF$1</f>
        <v>219.84732824427479</v>
      </c>
      <c r="R55" s="639">
        <f t="shared" ref="R55:R57" si="73">$F55*$G55*3/$AF$1</f>
        <v>219.84732824427479</v>
      </c>
      <c r="S55" s="640">
        <f t="shared" ref="S55:S57" si="74">$H55*$I55*3/$AF$1</f>
        <v>219.84732824427479</v>
      </c>
      <c r="T55" s="639">
        <f t="shared" ref="T55:T57" si="75">$J55*$K55*3/$AF$1</f>
        <v>219.84732824427479</v>
      </c>
      <c r="U55" s="639">
        <f t="shared" ref="U55:U57" si="76">$L55*$M55*3/$AF$1</f>
        <v>274.80916030534348</v>
      </c>
      <c r="V55" s="639">
        <f t="shared" ref="V55:V57" si="77">$N55*$O55*3/$AF$1</f>
        <v>274.80916030534348</v>
      </c>
      <c r="W55" s="656">
        <f t="shared" ref="W55:W57" si="78">SUM(Q55:V55)</f>
        <v>1429.0076335877861</v>
      </c>
      <c r="X55" s="660"/>
      <c r="Y55" s="628"/>
      <c r="Z55" s="595"/>
      <c r="AA55" s="595"/>
      <c r="AB55" s="595"/>
      <c r="AC55" s="595"/>
    </row>
    <row r="56" spans="1:30" ht="12.75" customHeight="1">
      <c r="A56" s="808"/>
      <c r="B56" s="813" t="s">
        <v>441</v>
      </c>
      <c r="C56" s="759"/>
      <c r="D56" s="768">
        <v>3</v>
      </c>
      <c r="E56" s="769">
        <v>200</v>
      </c>
      <c r="F56" s="770">
        <f t="shared" si="70"/>
        <v>3</v>
      </c>
      <c r="G56" s="771">
        <f t="shared" si="70"/>
        <v>200</v>
      </c>
      <c r="H56" s="772">
        <f t="shared" si="70"/>
        <v>3</v>
      </c>
      <c r="I56" s="769">
        <f t="shared" si="70"/>
        <v>200</v>
      </c>
      <c r="J56" s="770">
        <f t="shared" si="70"/>
        <v>3</v>
      </c>
      <c r="K56" s="771">
        <f t="shared" si="70"/>
        <v>200</v>
      </c>
      <c r="L56" s="773">
        <v>3</v>
      </c>
      <c r="M56" s="769">
        <v>600</v>
      </c>
      <c r="N56" s="770">
        <f t="shared" si="71"/>
        <v>3</v>
      </c>
      <c r="O56" s="771">
        <f t="shared" si="71"/>
        <v>600</v>
      </c>
      <c r="P56" s="603"/>
      <c r="Q56" s="621">
        <f t="shared" si="72"/>
        <v>549.61832061068696</v>
      </c>
      <c r="R56" s="622">
        <f t="shared" si="73"/>
        <v>549.61832061068696</v>
      </c>
      <c r="S56" s="623">
        <f t="shared" si="74"/>
        <v>549.61832061068696</v>
      </c>
      <c r="T56" s="622">
        <f t="shared" si="75"/>
        <v>549.61832061068696</v>
      </c>
      <c r="U56" s="622">
        <f t="shared" si="76"/>
        <v>1648.8549618320608</v>
      </c>
      <c r="V56" s="622">
        <f t="shared" si="77"/>
        <v>1648.8549618320608</v>
      </c>
      <c r="W56" s="657">
        <f t="shared" si="78"/>
        <v>5496.183206106869</v>
      </c>
      <c r="X56" s="661"/>
      <c r="Y56" s="628"/>
      <c r="Z56" s="595"/>
      <c r="AA56" s="595"/>
      <c r="AB56" s="595"/>
      <c r="AC56" s="595"/>
    </row>
    <row r="57" spans="1:30" ht="13.5" customHeight="1" thickBot="1">
      <c r="A57" s="810"/>
      <c r="B57" s="811"/>
      <c r="C57" s="759"/>
      <c r="D57" s="776"/>
      <c r="E57" s="796"/>
      <c r="F57" s="800">
        <f t="shared" si="70"/>
        <v>0</v>
      </c>
      <c r="G57" s="798">
        <f t="shared" si="70"/>
        <v>0</v>
      </c>
      <c r="H57" s="799">
        <f t="shared" si="70"/>
        <v>0</v>
      </c>
      <c r="I57" s="796">
        <f t="shared" si="70"/>
        <v>0</v>
      </c>
      <c r="J57" s="800">
        <f t="shared" si="70"/>
        <v>0</v>
      </c>
      <c r="K57" s="798">
        <f t="shared" si="70"/>
        <v>0</v>
      </c>
      <c r="L57" s="781"/>
      <c r="M57" s="796"/>
      <c r="N57" s="800"/>
      <c r="O57" s="798"/>
      <c r="P57" s="603"/>
      <c r="Q57" s="631">
        <f t="shared" si="72"/>
        <v>0</v>
      </c>
      <c r="R57" s="632">
        <f t="shared" si="73"/>
        <v>0</v>
      </c>
      <c r="S57" s="633">
        <f t="shared" si="74"/>
        <v>0</v>
      </c>
      <c r="T57" s="632">
        <f t="shared" si="75"/>
        <v>0</v>
      </c>
      <c r="U57" s="632">
        <f t="shared" si="76"/>
        <v>0</v>
      </c>
      <c r="V57" s="632">
        <f t="shared" si="77"/>
        <v>0</v>
      </c>
      <c r="W57" s="659">
        <f t="shared" si="78"/>
        <v>0</v>
      </c>
      <c r="X57" s="662"/>
      <c r="Y57" s="628"/>
      <c r="Z57" s="595"/>
      <c r="AA57" s="595"/>
      <c r="AB57" s="595"/>
      <c r="AC57" s="595"/>
    </row>
    <row r="58" spans="1:30" ht="12.75" customHeight="1" thickBot="1">
      <c r="A58" s="782"/>
      <c r="B58" s="783"/>
      <c r="C58" s="759"/>
      <c r="D58" s="784"/>
      <c r="E58" s="784"/>
      <c r="F58" s="784"/>
      <c r="G58" s="784"/>
      <c r="H58" s="784"/>
      <c r="I58" s="784"/>
      <c r="J58" s="784"/>
      <c r="K58" s="784"/>
      <c r="L58" s="784"/>
      <c r="M58" s="784"/>
      <c r="N58" s="784"/>
      <c r="O58" s="784"/>
      <c r="P58" s="603"/>
      <c r="Q58" s="628">
        <f t="shared" ref="Q58:W58" si="79">SUM(Q55:Q57)</f>
        <v>769.46564885496173</v>
      </c>
      <c r="R58" s="628">
        <f t="shared" si="79"/>
        <v>769.46564885496173</v>
      </c>
      <c r="S58" s="628">
        <f t="shared" si="79"/>
        <v>769.46564885496173</v>
      </c>
      <c r="T58" s="628">
        <f t="shared" si="79"/>
        <v>769.46564885496173</v>
      </c>
      <c r="U58" s="628">
        <f t="shared" si="79"/>
        <v>1923.6641221374043</v>
      </c>
      <c r="V58" s="628">
        <f t="shared" si="79"/>
        <v>1923.6641221374043</v>
      </c>
      <c r="W58" s="636">
        <f t="shared" si="79"/>
        <v>6925.1908396946546</v>
      </c>
      <c r="X58" s="636"/>
      <c r="Y58" s="628"/>
      <c r="Z58" s="595"/>
      <c r="AA58" s="595"/>
      <c r="AB58" s="595"/>
      <c r="AC58" s="595"/>
    </row>
    <row r="59" spans="1:30" ht="13.5" customHeight="1" thickBot="1">
      <c r="A59" s="782"/>
      <c r="B59" s="783"/>
      <c r="C59" s="759"/>
      <c r="D59" s="854" t="s">
        <v>11</v>
      </c>
      <c r="E59" s="848"/>
      <c r="F59" s="847" t="s">
        <v>12</v>
      </c>
      <c r="G59" s="848"/>
      <c r="H59" s="847" t="s">
        <v>13</v>
      </c>
      <c r="I59" s="848"/>
      <c r="J59" s="855" t="s">
        <v>14</v>
      </c>
      <c r="K59" s="856"/>
      <c r="L59" s="854" t="s">
        <v>11</v>
      </c>
      <c r="M59" s="848"/>
      <c r="N59" s="847" t="s">
        <v>12</v>
      </c>
      <c r="O59" s="848"/>
      <c r="P59" s="603"/>
      <c r="Q59" s="637"/>
      <c r="R59" s="637"/>
      <c r="S59" s="637"/>
      <c r="T59" s="637"/>
      <c r="U59" s="637"/>
      <c r="V59" s="637"/>
      <c r="W59" s="636"/>
      <c r="X59" s="636"/>
      <c r="Y59" s="628"/>
      <c r="Z59" s="595"/>
      <c r="AA59" s="595"/>
      <c r="AB59" s="595"/>
      <c r="AC59" s="595"/>
    </row>
    <row r="60" spans="1:30" ht="12.75" customHeight="1">
      <c r="A60" s="812" t="s">
        <v>216</v>
      </c>
      <c r="B60" s="805" t="s">
        <v>442</v>
      </c>
      <c r="C60" s="759"/>
      <c r="D60" s="787">
        <v>3</v>
      </c>
      <c r="E60" s="788">
        <v>500</v>
      </c>
      <c r="F60" s="792">
        <f t="shared" ref="F60:K62" si="80">+D60</f>
        <v>3</v>
      </c>
      <c r="G60" s="790">
        <f t="shared" si="80"/>
        <v>500</v>
      </c>
      <c r="H60" s="791">
        <f t="shared" si="80"/>
        <v>3</v>
      </c>
      <c r="I60" s="788">
        <f t="shared" si="80"/>
        <v>500</v>
      </c>
      <c r="J60" s="792">
        <f t="shared" si="80"/>
        <v>3</v>
      </c>
      <c r="K60" s="790">
        <f t="shared" si="80"/>
        <v>500</v>
      </c>
      <c r="L60" s="793">
        <v>3</v>
      </c>
      <c r="M60" s="788">
        <v>500</v>
      </c>
      <c r="N60" s="792">
        <f t="shared" ref="N60:O62" si="81">+L60</f>
        <v>3</v>
      </c>
      <c r="O60" s="790">
        <f t="shared" si="81"/>
        <v>500</v>
      </c>
      <c r="P60" s="603"/>
      <c r="Q60" s="638">
        <f t="shared" ref="Q60:Q62" si="82">$D60*$E60*3/$AF$1</f>
        <v>1374.0458015267175</v>
      </c>
      <c r="R60" s="639">
        <f t="shared" ref="R60:R62" si="83">$F60*$G60*3/$AF$1</f>
        <v>1374.0458015267175</v>
      </c>
      <c r="S60" s="640">
        <f t="shared" ref="S60:S62" si="84">$H60*$I60*3/$AF$1</f>
        <v>1374.0458015267175</v>
      </c>
      <c r="T60" s="639">
        <f t="shared" ref="T60:T62" si="85">$J60*$K60*3/$AF$1</f>
        <v>1374.0458015267175</v>
      </c>
      <c r="U60" s="639">
        <f t="shared" ref="U60:U62" si="86">$L60*$M60*3/$AF$1</f>
        <v>1374.0458015267175</v>
      </c>
      <c r="V60" s="639">
        <f t="shared" ref="V60:V62" si="87">$N60*$O60*3/$AF$1</f>
        <v>1374.0458015267175</v>
      </c>
      <c r="W60" s="656">
        <f t="shared" ref="W60:W62" si="88">SUM(Q60:V60)</f>
        <v>8244.2748091603044</v>
      </c>
      <c r="X60" s="660"/>
      <c r="Y60" s="628"/>
      <c r="Z60" s="595"/>
      <c r="AA60" s="595"/>
      <c r="AB60" s="595"/>
      <c r="AC60" s="595"/>
    </row>
    <row r="61" spans="1:30" ht="12.75" customHeight="1">
      <c r="A61" s="808"/>
      <c r="B61" s="813" t="s">
        <v>220</v>
      </c>
      <c r="C61" s="759"/>
      <c r="D61" s="768"/>
      <c r="E61" s="769"/>
      <c r="F61" s="770">
        <f t="shared" si="80"/>
        <v>0</v>
      </c>
      <c r="G61" s="771">
        <f t="shared" si="80"/>
        <v>0</v>
      </c>
      <c r="H61" s="772">
        <f t="shared" si="80"/>
        <v>0</v>
      </c>
      <c r="I61" s="769">
        <f t="shared" si="80"/>
        <v>0</v>
      </c>
      <c r="J61" s="770">
        <f t="shared" si="80"/>
        <v>0</v>
      </c>
      <c r="K61" s="771">
        <f t="shared" si="80"/>
        <v>0</v>
      </c>
      <c r="L61" s="773">
        <v>0</v>
      </c>
      <c r="M61" s="769">
        <v>0</v>
      </c>
      <c r="N61" s="770">
        <f t="shared" si="81"/>
        <v>0</v>
      </c>
      <c r="O61" s="771">
        <f t="shared" si="81"/>
        <v>0</v>
      </c>
      <c r="P61" s="603"/>
      <c r="Q61" s="621">
        <f t="shared" si="82"/>
        <v>0</v>
      </c>
      <c r="R61" s="622">
        <f t="shared" si="83"/>
        <v>0</v>
      </c>
      <c r="S61" s="623">
        <f t="shared" si="84"/>
        <v>0</v>
      </c>
      <c r="T61" s="622">
        <f t="shared" si="85"/>
        <v>0</v>
      </c>
      <c r="U61" s="622">
        <f t="shared" si="86"/>
        <v>0</v>
      </c>
      <c r="V61" s="622">
        <f t="shared" si="87"/>
        <v>0</v>
      </c>
      <c r="W61" s="657">
        <f t="shared" si="88"/>
        <v>0</v>
      </c>
      <c r="X61" s="661"/>
      <c r="Y61" s="628"/>
      <c r="Z61" s="595"/>
      <c r="AA61" s="595"/>
      <c r="AB61" s="595"/>
      <c r="AC61" s="595"/>
    </row>
    <row r="62" spans="1:30" ht="13.5" customHeight="1" thickBot="1">
      <c r="A62" s="810"/>
      <c r="B62" s="811" t="s">
        <v>443</v>
      </c>
      <c r="C62" s="759"/>
      <c r="D62" s="776"/>
      <c r="E62" s="796"/>
      <c r="F62" s="800">
        <f t="shared" si="80"/>
        <v>0</v>
      </c>
      <c r="G62" s="798">
        <f t="shared" si="80"/>
        <v>0</v>
      </c>
      <c r="H62" s="799">
        <f t="shared" si="80"/>
        <v>0</v>
      </c>
      <c r="I62" s="796">
        <f t="shared" si="80"/>
        <v>0</v>
      </c>
      <c r="J62" s="800">
        <f t="shared" si="80"/>
        <v>0</v>
      </c>
      <c r="K62" s="798">
        <f t="shared" si="80"/>
        <v>0</v>
      </c>
      <c r="L62" s="781">
        <v>3</v>
      </c>
      <c r="M62" s="796">
        <v>500</v>
      </c>
      <c r="N62" s="800">
        <f t="shared" si="81"/>
        <v>3</v>
      </c>
      <c r="O62" s="798">
        <f t="shared" si="81"/>
        <v>500</v>
      </c>
      <c r="P62" s="603"/>
      <c r="Q62" s="631">
        <f t="shared" si="82"/>
        <v>0</v>
      </c>
      <c r="R62" s="632">
        <f t="shared" si="83"/>
        <v>0</v>
      </c>
      <c r="S62" s="633">
        <f t="shared" si="84"/>
        <v>0</v>
      </c>
      <c r="T62" s="632">
        <f t="shared" si="85"/>
        <v>0</v>
      </c>
      <c r="U62" s="632">
        <f t="shared" si="86"/>
        <v>1374.0458015267175</v>
      </c>
      <c r="V62" s="632">
        <f t="shared" si="87"/>
        <v>1374.0458015267175</v>
      </c>
      <c r="W62" s="659">
        <f t="shared" si="88"/>
        <v>2748.0916030534349</v>
      </c>
      <c r="X62" s="662"/>
      <c r="Y62" s="628"/>
      <c r="Z62" s="595"/>
      <c r="AA62" s="595"/>
      <c r="AB62" s="595"/>
      <c r="AC62" s="595"/>
    </row>
    <row r="63" spans="1:30" ht="12.75" customHeight="1" thickBot="1">
      <c r="A63" s="782"/>
      <c r="B63" s="783"/>
      <c r="C63" s="759"/>
      <c r="D63" s="784"/>
      <c r="E63" s="784"/>
      <c r="F63" s="784"/>
      <c r="G63" s="784"/>
      <c r="H63" s="784"/>
      <c r="I63" s="784"/>
      <c r="J63" s="784"/>
      <c r="K63" s="784"/>
      <c r="L63" s="784"/>
      <c r="M63" s="784"/>
      <c r="N63" s="784"/>
      <c r="O63" s="784"/>
      <c r="P63" s="603"/>
      <c r="Q63" s="628">
        <f t="shared" ref="Q63:W63" si="89">SUM(Q60:Q62)</f>
        <v>1374.0458015267175</v>
      </c>
      <c r="R63" s="628">
        <f t="shared" si="89"/>
        <v>1374.0458015267175</v>
      </c>
      <c r="S63" s="628">
        <f t="shared" si="89"/>
        <v>1374.0458015267175</v>
      </c>
      <c r="T63" s="628">
        <f t="shared" si="89"/>
        <v>1374.0458015267175</v>
      </c>
      <c r="U63" s="628">
        <f t="shared" si="89"/>
        <v>2748.0916030534349</v>
      </c>
      <c r="V63" s="628">
        <f t="shared" si="89"/>
        <v>2748.0916030534349</v>
      </c>
      <c r="W63" s="636">
        <f t="shared" si="89"/>
        <v>10992.36641221374</v>
      </c>
      <c r="X63" s="636"/>
      <c r="Y63" s="628"/>
      <c r="Z63" s="595"/>
      <c r="AA63" s="595"/>
      <c r="AB63" s="595"/>
      <c r="AC63" s="595"/>
    </row>
    <row r="64" spans="1:30" ht="13.5" hidden="1" customHeight="1">
      <c r="A64" s="810"/>
      <c r="B64" s="811"/>
      <c r="C64" s="759"/>
      <c r="D64" s="814"/>
      <c r="E64" s="814"/>
      <c r="F64" s="814"/>
      <c r="G64" s="814"/>
      <c r="H64" s="814"/>
      <c r="I64" s="814"/>
      <c r="J64" s="814"/>
      <c r="K64" s="814"/>
      <c r="L64" s="814"/>
      <c r="M64" s="814"/>
      <c r="N64" s="814"/>
      <c r="O64" s="814"/>
      <c r="P64" s="603"/>
      <c r="Q64" s="651" t="e">
        <f>+#REF!*#REF!</f>
        <v>#REF!</v>
      </c>
      <c r="R64" s="651"/>
      <c r="S64" s="651"/>
      <c r="T64" s="651"/>
      <c r="U64" s="651"/>
      <c r="V64" s="651"/>
      <c r="W64" s="663">
        <v>633</v>
      </c>
      <c r="X64" s="663"/>
      <c r="Y64" s="651"/>
      <c r="Z64" s="652"/>
      <c r="AA64" s="595" t="e">
        <f>+#REF!/#REF!</f>
        <v>#REF!</v>
      </c>
      <c r="AB64" s="595"/>
      <c r="AC64" s="595"/>
    </row>
    <row r="65" spans="1:30" ht="13.5" customHeight="1" thickBot="1">
      <c r="A65" s="782"/>
      <c r="B65" s="783"/>
      <c r="C65" s="759"/>
      <c r="D65" s="854" t="s">
        <v>11</v>
      </c>
      <c r="E65" s="848"/>
      <c r="F65" s="847" t="s">
        <v>12</v>
      </c>
      <c r="G65" s="848"/>
      <c r="H65" s="847" t="s">
        <v>13</v>
      </c>
      <c r="I65" s="848"/>
      <c r="J65" s="855" t="s">
        <v>14</v>
      </c>
      <c r="K65" s="856"/>
      <c r="L65" s="854" t="s">
        <v>11</v>
      </c>
      <c r="M65" s="848"/>
      <c r="N65" s="847" t="s">
        <v>12</v>
      </c>
      <c r="O65" s="848"/>
      <c r="P65" s="603"/>
      <c r="Q65" s="628"/>
      <c r="R65" s="628"/>
      <c r="S65" s="628"/>
      <c r="T65" s="628"/>
      <c r="U65" s="628"/>
      <c r="V65" s="628"/>
      <c r="W65" s="628"/>
      <c r="X65" s="628"/>
      <c r="Y65" s="628" t="e">
        <f>SUM(#REF!)</f>
        <v>#REF!</v>
      </c>
      <c r="Z65" s="595"/>
      <c r="AA65" s="595"/>
      <c r="AB65" s="595"/>
      <c r="AC65" s="595"/>
    </row>
    <row r="66" spans="1:30" ht="12.75" customHeight="1" thickBot="1">
      <c r="A66" s="812" t="s">
        <v>4</v>
      </c>
      <c r="B66" s="805"/>
      <c r="C66" s="759"/>
      <c r="D66" s="787"/>
      <c r="E66" s="788"/>
      <c r="F66" s="792">
        <f t="shared" ref="F66:K67" si="90">+D66</f>
        <v>0</v>
      </c>
      <c r="G66" s="790">
        <f t="shared" si="90"/>
        <v>0</v>
      </c>
      <c r="H66" s="791">
        <f t="shared" si="90"/>
        <v>0</v>
      </c>
      <c r="I66" s="788">
        <f t="shared" si="90"/>
        <v>0</v>
      </c>
      <c r="J66" s="792">
        <f t="shared" si="90"/>
        <v>0</v>
      </c>
      <c r="K66" s="790">
        <f t="shared" si="90"/>
        <v>0</v>
      </c>
      <c r="L66" s="793"/>
      <c r="M66" s="788"/>
      <c r="N66" s="792">
        <f t="shared" ref="N66:O67" si="91">+L66</f>
        <v>0</v>
      </c>
      <c r="O66" s="790">
        <f t="shared" si="91"/>
        <v>0</v>
      </c>
      <c r="P66" s="603"/>
      <c r="Q66" s="638">
        <f t="shared" ref="Q66:Q67" si="92">$D66*$E66*3/$AF$1</f>
        <v>0</v>
      </c>
      <c r="R66" s="639">
        <f t="shared" ref="R66:R67" si="93">$F66*$G66*3/$AF$1</f>
        <v>0</v>
      </c>
      <c r="S66" s="640">
        <f t="shared" ref="S66:S67" si="94">$H66*$I66*3/$AF$1</f>
        <v>0</v>
      </c>
      <c r="T66" s="639">
        <f t="shared" ref="T66:T67" si="95">$J66*$K66*3/$AF$1</f>
        <v>0</v>
      </c>
      <c r="U66" s="639">
        <f t="shared" ref="U66:U67" si="96">$L66*$M66*3/$AF$1</f>
        <v>0</v>
      </c>
      <c r="V66" s="639">
        <f t="shared" ref="V66:V67" si="97">$N66*$O66*3/$AF$1</f>
        <v>0</v>
      </c>
      <c r="W66" s="641">
        <f t="shared" ref="W66:W67" si="98">SUM(Q66:V66)</f>
        <v>0</v>
      </c>
      <c r="X66" s="660"/>
      <c r="Y66" s="643">
        <v>1720</v>
      </c>
      <c r="Z66" s="619"/>
      <c r="AA66" s="595" t="e">
        <f t="shared" ref="AA66:AA67" si="99">+#REF!/#REF!</f>
        <v>#REF!</v>
      </c>
      <c r="AB66" s="595"/>
      <c r="AC66" s="595"/>
    </row>
    <row r="67" spans="1:30" ht="13.5" customHeight="1" thickBot="1">
      <c r="A67" s="810"/>
      <c r="B67" s="811" t="s">
        <v>325</v>
      </c>
      <c r="C67" s="759"/>
      <c r="D67" s="776">
        <v>3</v>
      </c>
      <c r="E67" s="796">
        <v>500</v>
      </c>
      <c r="F67" s="800">
        <f t="shared" si="90"/>
        <v>3</v>
      </c>
      <c r="G67" s="798">
        <f t="shared" si="90"/>
        <v>500</v>
      </c>
      <c r="H67" s="799">
        <f t="shared" si="90"/>
        <v>3</v>
      </c>
      <c r="I67" s="796">
        <f t="shared" si="90"/>
        <v>500</v>
      </c>
      <c r="J67" s="800">
        <f t="shared" si="90"/>
        <v>3</v>
      </c>
      <c r="K67" s="798">
        <f t="shared" si="90"/>
        <v>500</v>
      </c>
      <c r="L67" s="781">
        <v>3</v>
      </c>
      <c r="M67" s="796">
        <v>700</v>
      </c>
      <c r="N67" s="800">
        <f t="shared" si="91"/>
        <v>3</v>
      </c>
      <c r="O67" s="798">
        <f t="shared" si="91"/>
        <v>700</v>
      </c>
      <c r="P67" s="603"/>
      <c r="Q67" s="638">
        <f t="shared" si="92"/>
        <v>1374.0458015267175</v>
      </c>
      <c r="R67" s="639">
        <f t="shared" si="93"/>
        <v>1374.0458015267175</v>
      </c>
      <c r="S67" s="640">
        <f t="shared" si="94"/>
        <v>1374.0458015267175</v>
      </c>
      <c r="T67" s="639">
        <f t="shared" si="95"/>
        <v>1374.0458015267175</v>
      </c>
      <c r="U67" s="639">
        <f t="shared" si="96"/>
        <v>1923.6641221374043</v>
      </c>
      <c r="V67" s="639">
        <f t="shared" si="97"/>
        <v>1923.6641221374043</v>
      </c>
      <c r="W67" s="634">
        <f t="shared" si="98"/>
        <v>9343.5114503816785</v>
      </c>
      <c r="X67" s="662"/>
      <c r="Y67" s="651">
        <v>3700</v>
      </c>
      <c r="Z67" s="652"/>
      <c r="AA67" s="595" t="e">
        <f t="shared" si="99"/>
        <v>#REF!</v>
      </c>
      <c r="AB67" s="595"/>
      <c r="AC67" s="595"/>
    </row>
    <row r="68" spans="1:30" ht="12.75" customHeight="1" thickBot="1">
      <c r="A68" s="782"/>
      <c r="B68" s="759"/>
      <c r="C68" s="759"/>
      <c r="D68" s="784"/>
      <c r="E68" s="784"/>
      <c r="F68" s="784"/>
      <c r="G68" s="784"/>
      <c r="H68" s="784"/>
      <c r="I68" s="784"/>
      <c r="J68" s="784"/>
      <c r="K68" s="784"/>
      <c r="L68" s="784"/>
      <c r="M68" s="784"/>
      <c r="N68" s="784"/>
      <c r="O68" s="784"/>
      <c r="P68" s="603"/>
      <c r="Q68" s="654">
        <f t="shared" ref="Q68:W68" si="100">SUM(Q66:Q67)</f>
        <v>1374.0458015267175</v>
      </c>
      <c r="R68" s="654">
        <f t="shared" si="100"/>
        <v>1374.0458015267175</v>
      </c>
      <c r="S68" s="654">
        <f t="shared" si="100"/>
        <v>1374.0458015267175</v>
      </c>
      <c r="T68" s="654">
        <f t="shared" si="100"/>
        <v>1374.0458015267175</v>
      </c>
      <c r="U68" s="654">
        <f t="shared" si="100"/>
        <v>1923.6641221374043</v>
      </c>
      <c r="V68" s="654">
        <f t="shared" si="100"/>
        <v>1923.6641221374043</v>
      </c>
      <c r="W68" s="654">
        <f t="shared" si="100"/>
        <v>9343.5114503816785</v>
      </c>
      <c r="X68" s="603"/>
      <c r="Y68" s="603"/>
      <c r="Z68" s="603"/>
      <c r="AA68" s="603"/>
      <c r="AB68" s="603"/>
      <c r="AC68" s="603"/>
      <c r="AD68" s="603"/>
    </row>
    <row r="69" spans="1:30" ht="13.5" customHeight="1" thickBot="1">
      <c r="A69" s="782"/>
      <c r="B69" s="759"/>
      <c r="C69" s="759"/>
      <c r="D69" s="854" t="s">
        <v>11</v>
      </c>
      <c r="E69" s="848"/>
      <c r="F69" s="847" t="s">
        <v>12</v>
      </c>
      <c r="G69" s="848"/>
      <c r="H69" s="847" t="s">
        <v>13</v>
      </c>
      <c r="I69" s="848"/>
      <c r="J69" s="855" t="s">
        <v>14</v>
      </c>
      <c r="K69" s="856"/>
      <c r="L69" s="854" t="s">
        <v>11</v>
      </c>
      <c r="M69" s="848"/>
      <c r="N69" s="847" t="s">
        <v>12</v>
      </c>
      <c r="O69" s="848"/>
      <c r="P69" s="603"/>
      <c r="Q69" s="628"/>
      <c r="R69" s="628"/>
      <c r="S69" s="628"/>
      <c r="T69" s="628"/>
      <c r="U69" s="628"/>
      <c r="V69" s="628"/>
      <c r="W69" s="628"/>
      <c r="X69" s="628"/>
      <c r="Y69" s="628">
        <f>SUM(Y66:Y67)</f>
        <v>5420</v>
      </c>
      <c r="Z69" s="595"/>
      <c r="AA69" s="595"/>
      <c r="AB69" s="595"/>
      <c r="AC69" s="595"/>
    </row>
    <row r="70" spans="1:30" ht="12.75" customHeight="1" thickBot="1">
      <c r="A70" s="812" t="s">
        <v>8</v>
      </c>
      <c r="B70" s="805" t="s">
        <v>444</v>
      </c>
      <c r="C70" s="759"/>
      <c r="D70" s="787"/>
      <c r="E70" s="788"/>
      <c r="F70" s="792">
        <f t="shared" ref="F70:K71" si="101">+D70</f>
        <v>0</v>
      </c>
      <c r="G70" s="790">
        <f t="shared" si="101"/>
        <v>0</v>
      </c>
      <c r="H70" s="791">
        <f t="shared" si="101"/>
        <v>0</v>
      </c>
      <c r="I70" s="788">
        <f t="shared" si="101"/>
        <v>0</v>
      </c>
      <c r="J70" s="792">
        <f t="shared" si="101"/>
        <v>0</v>
      </c>
      <c r="K70" s="790">
        <f t="shared" si="101"/>
        <v>0</v>
      </c>
      <c r="L70" s="793"/>
      <c r="M70" s="788"/>
      <c r="N70" s="792"/>
      <c r="O70" s="790"/>
      <c r="P70" s="603"/>
      <c r="Q70" s="638">
        <f t="shared" ref="Q70:Q71" si="102">$D70*$E70*3/$AF$1</f>
        <v>0</v>
      </c>
      <c r="R70" s="639">
        <f t="shared" ref="R70:R71" si="103">$F70*$G70*3/$AF$1</f>
        <v>0</v>
      </c>
      <c r="S70" s="640">
        <f t="shared" ref="S70:S71" si="104">$H70*$I70*3/$AF$1</f>
        <v>0</v>
      </c>
      <c r="T70" s="639">
        <f t="shared" ref="T70:T71" si="105">$J70*$K70*3/$AF$1</f>
        <v>0</v>
      </c>
      <c r="U70" s="639">
        <f t="shared" ref="U70:U71" si="106">$L70*$M70*3/$AF$1</f>
        <v>0</v>
      </c>
      <c r="V70" s="639">
        <f t="shared" ref="V70:V71" si="107">$N70*$O70*3/$AF$1</f>
        <v>0</v>
      </c>
      <c r="W70" s="641">
        <f t="shared" ref="W70:W71" si="108">SUM(Q70:V70)</f>
        <v>0</v>
      </c>
      <c r="X70" s="660"/>
      <c r="Y70" s="645">
        <f>114383*2/4.4</f>
        <v>51992.272727272721</v>
      </c>
      <c r="Z70" s="650"/>
      <c r="AA70" s="595" t="e">
        <f t="shared" ref="AA70:AA71" si="109">+#REF!/#REF!</f>
        <v>#REF!</v>
      </c>
      <c r="AB70" s="595"/>
      <c r="AC70" s="595"/>
    </row>
    <row r="71" spans="1:30" ht="13.5" customHeight="1" thickBot="1">
      <c r="A71" s="815"/>
      <c r="B71" s="816"/>
      <c r="C71" s="759"/>
      <c r="D71" s="776"/>
      <c r="E71" s="796"/>
      <c r="F71" s="800">
        <f t="shared" si="101"/>
        <v>0</v>
      </c>
      <c r="G71" s="798">
        <f t="shared" si="101"/>
        <v>0</v>
      </c>
      <c r="H71" s="799">
        <f t="shared" si="101"/>
        <v>0</v>
      </c>
      <c r="I71" s="796">
        <f t="shared" si="101"/>
        <v>0</v>
      </c>
      <c r="J71" s="800">
        <f t="shared" si="101"/>
        <v>0</v>
      </c>
      <c r="K71" s="798">
        <f t="shared" si="101"/>
        <v>0</v>
      </c>
      <c r="L71" s="781"/>
      <c r="M71" s="796"/>
      <c r="N71" s="800"/>
      <c r="O71" s="798"/>
      <c r="P71" s="603"/>
      <c r="Q71" s="638">
        <f t="shared" si="102"/>
        <v>0</v>
      </c>
      <c r="R71" s="639">
        <f t="shared" si="103"/>
        <v>0</v>
      </c>
      <c r="S71" s="640">
        <f t="shared" si="104"/>
        <v>0</v>
      </c>
      <c r="T71" s="639">
        <f t="shared" si="105"/>
        <v>0</v>
      </c>
      <c r="U71" s="639">
        <f t="shared" si="106"/>
        <v>0</v>
      </c>
      <c r="V71" s="639">
        <f t="shared" si="107"/>
        <v>0</v>
      </c>
      <c r="W71" s="634">
        <f t="shared" si="108"/>
        <v>0</v>
      </c>
      <c r="X71" s="662"/>
      <c r="Y71" s="651"/>
      <c r="Z71" s="652"/>
      <c r="AA71" s="595" t="e">
        <f t="shared" si="109"/>
        <v>#REF!</v>
      </c>
      <c r="AB71" s="595"/>
      <c r="AC71" s="595"/>
    </row>
    <row r="72" spans="1:30" ht="12.75" customHeight="1">
      <c r="A72" s="601"/>
      <c r="B72" s="602"/>
      <c r="C72" s="602"/>
      <c r="D72" s="603"/>
      <c r="E72" s="603"/>
      <c r="F72" s="603"/>
      <c r="G72" s="603"/>
      <c r="H72" s="603"/>
      <c r="I72" s="603"/>
      <c r="J72" s="603"/>
      <c r="K72" s="603"/>
      <c r="L72" s="603"/>
      <c r="M72" s="603"/>
      <c r="N72" s="603"/>
      <c r="O72" s="603"/>
      <c r="P72" s="603"/>
      <c r="Q72" s="654">
        <f t="shared" ref="Q72:W72" si="110">SUM(Q70:Q71)</f>
        <v>0</v>
      </c>
      <c r="R72" s="654">
        <f t="shared" si="110"/>
        <v>0</v>
      </c>
      <c r="S72" s="654">
        <f t="shared" si="110"/>
        <v>0</v>
      </c>
      <c r="T72" s="654">
        <f t="shared" si="110"/>
        <v>0</v>
      </c>
      <c r="U72" s="654">
        <f t="shared" si="110"/>
        <v>0</v>
      </c>
      <c r="V72" s="654">
        <f t="shared" si="110"/>
        <v>0</v>
      </c>
      <c r="W72" s="654">
        <f t="shared" si="110"/>
        <v>0</v>
      </c>
      <c r="X72" s="628"/>
      <c r="Y72" s="628">
        <f>SUM(Y70:Y71)</f>
        <v>51992.272727272721</v>
      </c>
      <c r="Z72" s="595"/>
      <c r="AA72" s="595"/>
      <c r="AB72" s="595"/>
      <c r="AC72" s="595"/>
    </row>
    <row r="73" spans="1:30" ht="12.75" customHeight="1">
      <c r="A73" s="601"/>
      <c r="B73" s="664" t="s">
        <v>50</v>
      </c>
      <c r="C73" s="602"/>
      <c r="D73" s="665"/>
      <c r="E73" s="665"/>
      <c r="F73" s="665"/>
      <c r="G73" s="665"/>
      <c r="H73" s="665"/>
      <c r="I73" s="665"/>
      <c r="J73" s="665"/>
      <c r="K73" s="665"/>
      <c r="L73" s="665"/>
      <c r="M73" s="665"/>
      <c r="N73" s="665"/>
      <c r="O73" s="665"/>
      <c r="P73" s="603"/>
      <c r="Q73" s="666">
        <f>+Q15+Q23+Q31+Q35+Q42+Q47+Q53+Q58+Q63+Q68+Q72</f>
        <v>33554.198473282435</v>
      </c>
      <c r="R73" s="666">
        <f t="shared" ref="R73:V73" si="111">+R15+R23+R31+R35+R42+R47+R53+R58+R63+R68+R72</f>
        <v>43254.961832061053</v>
      </c>
      <c r="S73" s="666">
        <f t="shared" si="111"/>
        <v>49300.763358778619</v>
      </c>
      <c r="T73" s="666">
        <f t="shared" si="111"/>
        <v>56170.992366412196</v>
      </c>
      <c r="U73" s="666">
        <f t="shared" si="111"/>
        <v>82226.580544137789</v>
      </c>
      <c r="V73" s="666">
        <f t="shared" si="111"/>
        <v>83325.817185359163</v>
      </c>
      <c r="W73" s="666">
        <f>+W15+W23+W31+W35+W42+W47+W53+W58+W63+W68+W72</f>
        <v>347833.31376003125</v>
      </c>
      <c r="X73" s="666" t="e">
        <f>+X15+X23+X31+X35+X42+X47+X53+X58+X63+X68+X72+#REF!+#REF!+#REF!</f>
        <v>#REF!</v>
      </c>
      <c r="Y73" s="666" t="e">
        <f>+Y15+Y23+Y31+Y35+Y42+Y47+Y53+Y58+Y63+Y68+Y72+#REF!+#REF!+#REF!</f>
        <v>#REF!</v>
      </c>
      <c r="Z73" s="666" t="e">
        <f>+Z15+Z23+Z31+Z35+Z42+Z47+Z53+Z58+Z63+Z68+Z72+#REF!+#REF!+#REF!</f>
        <v>#REF!</v>
      </c>
      <c r="AA73" s="666" t="e">
        <f>+AA15+AA23+AA31+AA35+AA42+AA47+AA53+AA58+AA63+AA68+AA72+#REF!+#REF!+#REF!</f>
        <v>#REF!</v>
      </c>
      <c r="AB73" s="666" t="e">
        <f>+AB15+AB23+AB31+AB35+AB42+AB47+AB53+AB58+AB63+AB68+AB72+#REF!+#REF!+#REF!</f>
        <v>#REF!</v>
      </c>
      <c r="AC73" s="666" t="e">
        <f>+AC15+AC23+AC31+AC35+AC42+AC47+AC53+AC58+AC63+AC68+AC72+#REF!+#REF!+#REF!</f>
        <v>#REF!</v>
      </c>
      <c r="AD73" s="677">
        <f>+Q73+R73+S73+T73+U73+V73-W73</f>
        <v>0</v>
      </c>
    </row>
    <row r="74" spans="1:30" ht="12.75" customHeight="1">
      <c r="A74" s="667"/>
      <c r="B74" s="602"/>
      <c r="C74" s="602"/>
      <c r="D74" s="603"/>
      <c r="E74" s="603"/>
      <c r="F74" s="603"/>
      <c r="G74" s="603"/>
      <c r="H74" s="603"/>
      <c r="I74" s="603"/>
      <c r="J74" s="603"/>
      <c r="K74" s="603"/>
      <c r="L74" s="603"/>
      <c r="M74" s="603"/>
      <c r="N74" s="603"/>
      <c r="O74" s="603"/>
      <c r="P74" s="603"/>
      <c r="Q74" s="678">
        <f t="shared" ref="Q74:W74" si="112">+Q15+Q23+Q31+Q35+Q42+Q47+Q53+Q58+Q63+Q68+Q72-Q73</f>
        <v>0</v>
      </c>
      <c r="R74" s="678">
        <f t="shared" si="112"/>
        <v>0</v>
      </c>
      <c r="S74" s="678">
        <f t="shared" si="112"/>
        <v>0</v>
      </c>
      <c r="T74" s="678">
        <f t="shared" si="112"/>
        <v>0</v>
      </c>
      <c r="U74" s="678">
        <f t="shared" si="112"/>
        <v>0</v>
      </c>
      <c r="V74" s="678">
        <f t="shared" si="112"/>
        <v>0</v>
      </c>
      <c r="W74" s="678">
        <f t="shared" si="112"/>
        <v>0</v>
      </c>
      <c r="X74" s="594"/>
      <c r="Y74" s="595"/>
      <c r="Z74" s="595"/>
      <c r="AA74" s="595"/>
      <c r="AB74" s="595"/>
      <c r="AC74" s="595"/>
    </row>
    <row r="75" spans="1:30" ht="12.75" customHeight="1">
      <c r="A75" s="668"/>
      <c r="B75" s="602"/>
      <c r="C75" s="602"/>
      <c r="D75" s="595"/>
      <c r="E75" s="595"/>
      <c r="F75" s="595"/>
      <c r="G75" s="595"/>
      <c r="H75" s="595"/>
      <c r="I75" s="595"/>
      <c r="J75" s="595"/>
      <c r="K75" s="595"/>
      <c r="L75" s="595"/>
      <c r="M75" s="595"/>
      <c r="N75" s="595"/>
      <c r="O75" s="595"/>
      <c r="P75" s="603"/>
      <c r="Q75" s="637"/>
      <c r="R75" s="637"/>
      <c r="S75" s="637"/>
      <c r="T75" s="637"/>
      <c r="U75" s="637"/>
      <c r="V75" s="637"/>
      <c r="W75" s="637"/>
      <c r="X75" s="595"/>
      <c r="Y75" s="595"/>
      <c r="Z75" s="595"/>
      <c r="AA75" s="595"/>
      <c r="AB75" s="595"/>
      <c r="AC75" s="595"/>
    </row>
    <row r="76" spans="1:30" ht="12.75" customHeight="1">
      <c r="A76" s="668"/>
      <c r="B76" s="603"/>
      <c r="C76" s="602"/>
      <c r="D76" s="595"/>
      <c r="E76" s="595"/>
      <c r="F76" s="595"/>
      <c r="G76" s="595"/>
      <c r="H76" s="595"/>
      <c r="I76" s="595"/>
      <c r="J76" s="595"/>
      <c r="K76" s="595"/>
      <c r="L76" s="595"/>
      <c r="M76" s="595"/>
      <c r="N76" s="595"/>
      <c r="O76" s="595"/>
      <c r="P76" s="603"/>
      <c r="Q76" s="595"/>
      <c r="R76" s="595"/>
      <c r="S76" s="595"/>
      <c r="T76" s="595"/>
      <c r="U76" s="595"/>
      <c r="V76" s="595"/>
      <c r="W76" s="595"/>
      <c r="X76" s="595"/>
      <c r="Y76" s="595"/>
      <c r="Z76" s="595"/>
      <c r="AA76" s="595"/>
      <c r="AB76" s="595"/>
      <c r="AC76" s="595"/>
    </row>
    <row r="77" spans="1:30" ht="12.75" customHeight="1">
      <c r="A77" s="601"/>
      <c r="B77" s="603"/>
      <c r="C77" s="602"/>
      <c r="D77" s="595"/>
      <c r="E77" s="595"/>
      <c r="F77" s="595"/>
      <c r="G77" s="595"/>
      <c r="H77" s="595"/>
      <c r="I77" s="595"/>
      <c r="J77" s="595"/>
      <c r="K77" s="595"/>
      <c r="L77" s="595"/>
      <c r="M77" s="595"/>
      <c r="N77" s="595"/>
      <c r="O77" s="595"/>
      <c r="P77" s="603"/>
      <c r="Q77" s="595"/>
      <c r="R77" s="595"/>
      <c r="S77" s="595"/>
      <c r="T77" s="595"/>
      <c r="U77" s="595"/>
      <c r="V77" s="595"/>
      <c r="W77" s="595"/>
      <c r="X77" s="595"/>
      <c r="Y77" s="595"/>
      <c r="Z77" s="595"/>
      <c r="AA77" s="595"/>
      <c r="AB77" s="595"/>
      <c r="AC77" s="595"/>
    </row>
    <row r="78" spans="1:30" ht="12.75" customHeight="1">
      <c r="A78" s="601"/>
      <c r="B78" s="603"/>
      <c r="C78" s="602"/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603"/>
      <c r="Q78" s="595"/>
      <c r="R78" s="595"/>
      <c r="S78" s="595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</row>
    <row r="79" spans="1:30" ht="12.75" customHeight="1">
      <c r="A79" s="601"/>
      <c r="B79" s="603"/>
      <c r="C79" s="602"/>
      <c r="D79" s="595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603"/>
      <c r="Q79" s="595"/>
      <c r="R79" s="595"/>
      <c r="S79" s="595"/>
      <c r="T79" s="595"/>
      <c r="U79" s="595"/>
      <c r="V79" s="595"/>
      <c r="W79" s="595"/>
      <c r="X79" s="595"/>
      <c r="Y79" s="595"/>
      <c r="Z79" s="595"/>
      <c r="AA79" s="595"/>
      <c r="AB79" s="595"/>
      <c r="AC79" s="595"/>
    </row>
    <row r="80" spans="1:30" ht="12.75" customHeight="1">
      <c r="A80" s="601"/>
      <c r="B80" s="602"/>
      <c r="C80" s="602"/>
      <c r="D80" s="595"/>
      <c r="E80" s="595"/>
      <c r="F80" s="595"/>
      <c r="G80" s="595"/>
      <c r="H80" s="595"/>
      <c r="I80" s="595"/>
      <c r="J80" s="595"/>
      <c r="K80" s="595"/>
      <c r="L80" s="595"/>
      <c r="M80" s="595"/>
      <c r="N80" s="595"/>
      <c r="O80" s="595"/>
      <c r="P80" s="603"/>
      <c r="Q80" s="595"/>
      <c r="R80" s="595"/>
      <c r="S80" s="595"/>
      <c r="T80" s="595"/>
      <c r="U80" s="595"/>
      <c r="V80" s="595"/>
      <c r="W80" s="595"/>
      <c r="X80" s="595"/>
      <c r="Y80" s="595"/>
      <c r="Z80" s="595"/>
      <c r="AA80" s="595"/>
      <c r="AB80" s="595"/>
      <c r="AC80" s="595"/>
    </row>
    <row r="81" spans="1:29" ht="12.75" customHeight="1">
      <c r="A81" s="601"/>
      <c r="B81" s="602"/>
      <c r="C81" s="602"/>
      <c r="D81" s="595"/>
      <c r="E81" s="595"/>
      <c r="F81" s="595"/>
      <c r="G81" s="595"/>
      <c r="H81" s="595"/>
      <c r="I81" s="595"/>
      <c r="J81" s="595"/>
      <c r="K81" s="595"/>
      <c r="L81" s="595"/>
      <c r="M81" s="595"/>
      <c r="N81" s="595"/>
      <c r="O81" s="595"/>
      <c r="P81" s="603"/>
      <c r="Q81" s="595"/>
      <c r="R81" s="595"/>
      <c r="S81" s="595"/>
      <c r="T81" s="595"/>
      <c r="U81" s="595"/>
      <c r="V81" s="595"/>
      <c r="W81" s="595"/>
      <c r="X81" s="595"/>
      <c r="Y81" s="595"/>
      <c r="Z81" s="595"/>
      <c r="AA81" s="595"/>
      <c r="AB81" s="595"/>
      <c r="AC81" s="595"/>
    </row>
    <row r="82" spans="1:29" ht="12.75" customHeight="1">
      <c r="A82" s="601"/>
      <c r="B82" s="602"/>
      <c r="C82" s="602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595"/>
      <c r="O82" s="595"/>
      <c r="P82" s="603"/>
      <c r="Q82" s="595"/>
      <c r="R82" s="595"/>
      <c r="S82" s="595"/>
      <c r="T82" s="595"/>
      <c r="U82" s="595"/>
      <c r="V82" s="595"/>
      <c r="W82" s="595"/>
      <c r="X82" s="595"/>
      <c r="Y82" s="595"/>
      <c r="Z82" s="595"/>
      <c r="AA82" s="595"/>
      <c r="AB82" s="595"/>
      <c r="AC82" s="595"/>
    </row>
    <row r="83" spans="1:29" ht="12.75" customHeight="1">
      <c r="A83" s="601"/>
      <c r="B83" s="602"/>
      <c r="C83" s="602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O83" s="595"/>
      <c r="P83" s="603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</row>
    <row r="84" spans="1:29" ht="12.75" customHeight="1">
      <c r="A84" s="601"/>
      <c r="B84" s="602"/>
      <c r="C84" s="602"/>
      <c r="D84" s="595"/>
      <c r="E84" s="595"/>
      <c r="F84" s="595"/>
      <c r="G84" s="595"/>
      <c r="H84" s="595"/>
      <c r="I84" s="595"/>
      <c r="J84" s="595"/>
      <c r="K84" s="595"/>
      <c r="L84" s="595"/>
      <c r="M84" s="595"/>
      <c r="N84" s="595"/>
      <c r="O84" s="595"/>
      <c r="P84" s="603"/>
      <c r="Q84" s="595"/>
      <c r="R84" s="595"/>
      <c r="S84" s="595"/>
      <c r="T84" s="595"/>
      <c r="U84" s="595"/>
      <c r="V84" s="595"/>
      <c r="W84" s="595"/>
      <c r="X84" s="595"/>
      <c r="Y84" s="595"/>
      <c r="Z84" s="595"/>
      <c r="AA84" s="595"/>
      <c r="AB84" s="595"/>
      <c r="AC84" s="595"/>
    </row>
    <row r="85" spans="1:29" ht="12.75" customHeight="1">
      <c r="A85" s="601"/>
      <c r="B85" s="602"/>
      <c r="C85" s="602"/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595"/>
      <c r="O85" s="595"/>
      <c r="P85" s="603"/>
      <c r="Q85" s="595"/>
      <c r="R85" s="595"/>
      <c r="S85" s="595"/>
      <c r="T85" s="595"/>
      <c r="U85" s="595"/>
      <c r="V85" s="595"/>
      <c r="W85" s="595"/>
      <c r="X85" s="595"/>
      <c r="Y85" s="595"/>
      <c r="Z85" s="595"/>
      <c r="AA85" s="595"/>
      <c r="AB85" s="595"/>
      <c r="AC85" s="595"/>
    </row>
    <row r="86" spans="1:29" ht="12.75" customHeight="1">
      <c r="A86" s="601"/>
      <c r="B86" s="602"/>
      <c r="C86" s="602"/>
      <c r="D86" s="603"/>
      <c r="E86" s="603"/>
      <c r="F86" s="603"/>
      <c r="G86" s="603"/>
      <c r="H86" s="603"/>
      <c r="I86" s="603"/>
      <c r="J86" s="603"/>
      <c r="K86" s="603"/>
      <c r="L86" s="603"/>
      <c r="M86" s="603"/>
      <c r="N86" s="603"/>
      <c r="O86" s="603"/>
      <c r="P86" s="603"/>
      <c r="Q86" s="594"/>
      <c r="R86" s="594"/>
      <c r="S86" s="594"/>
      <c r="T86" s="594"/>
      <c r="U86" s="594"/>
      <c r="V86" s="594"/>
      <c r="W86" s="594"/>
      <c r="X86" s="594"/>
      <c r="Y86" s="595"/>
      <c r="Z86" s="595"/>
      <c r="AA86" s="595"/>
      <c r="AB86" s="595"/>
      <c r="AC86" s="595"/>
    </row>
    <row r="87" spans="1:29" ht="12.75" customHeight="1">
      <c r="A87" s="601"/>
      <c r="B87" s="602"/>
      <c r="C87" s="602"/>
      <c r="D87" s="603"/>
      <c r="E87" s="603"/>
      <c r="F87" s="603"/>
      <c r="G87" s="603"/>
      <c r="H87" s="603"/>
      <c r="I87" s="603"/>
      <c r="J87" s="603"/>
      <c r="K87" s="603"/>
      <c r="L87" s="603"/>
      <c r="M87" s="603"/>
      <c r="N87" s="603"/>
      <c r="O87" s="603"/>
      <c r="P87" s="603"/>
      <c r="Q87" s="595"/>
      <c r="R87" s="595"/>
      <c r="S87" s="595"/>
      <c r="T87" s="595"/>
      <c r="U87" s="595"/>
      <c r="V87" s="595"/>
      <c r="W87" s="594"/>
      <c r="X87" s="594"/>
      <c r="Y87" s="595"/>
      <c r="Z87" s="595"/>
      <c r="AA87" s="595"/>
      <c r="AB87" s="595"/>
      <c r="AC87" s="595"/>
    </row>
    <row r="88" spans="1:29" ht="12.75" customHeight="1">
      <c r="A88" s="601"/>
      <c r="B88" s="602"/>
      <c r="C88" s="602"/>
      <c r="D88" s="603"/>
      <c r="E88" s="603"/>
      <c r="F88" s="603"/>
      <c r="G88" s="603"/>
      <c r="H88" s="603"/>
      <c r="I88" s="603"/>
      <c r="J88" s="603"/>
      <c r="K88" s="603"/>
      <c r="L88" s="603"/>
      <c r="M88" s="603"/>
      <c r="N88" s="603"/>
      <c r="O88" s="603"/>
      <c r="P88" s="603"/>
      <c r="Q88" s="595"/>
      <c r="R88" s="595"/>
      <c r="S88" s="595"/>
      <c r="T88" s="595"/>
      <c r="U88" s="595"/>
      <c r="V88" s="595"/>
      <c r="W88" s="594"/>
      <c r="X88" s="594"/>
      <c r="Y88" s="595"/>
      <c r="Z88" s="595"/>
      <c r="AA88" s="595"/>
      <c r="AB88" s="595"/>
      <c r="AC88" s="595"/>
    </row>
    <row r="89" spans="1:29" ht="12.75" customHeight="1">
      <c r="A89" s="601"/>
      <c r="B89" s="602"/>
      <c r="C89" s="602"/>
      <c r="D89" s="603"/>
      <c r="E89" s="603"/>
      <c r="F89" s="603"/>
      <c r="G89" s="603"/>
      <c r="H89" s="603"/>
      <c r="I89" s="603"/>
      <c r="J89" s="603"/>
      <c r="K89" s="603"/>
      <c r="L89" s="603"/>
      <c r="M89" s="603"/>
      <c r="N89" s="603"/>
      <c r="O89" s="603"/>
      <c r="P89" s="603"/>
      <c r="Q89" s="595"/>
      <c r="R89" s="595"/>
      <c r="S89" s="595"/>
      <c r="T89" s="595"/>
      <c r="U89" s="595"/>
      <c r="V89" s="595"/>
      <c r="W89" s="594"/>
      <c r="X89" s="594"/>
      <c r="Y89" s="595"/>
      <c r="Z89" s="595"/>
      <c r="AA89" s="595"/>
      <c r="AB89" s="595"/>
      <c r="AC89" s="595"/>
    </row>
    <row r="90" spans="1:29" ht="12.75" customHeight="1">
      <c r="A90" s="601"/>
      <c r="B90" s="602"/>
      <c r="C90" s="602"/>
      <c r="D90" s="603"/>
      <c r="E90" s="603"/>
      <c r="F90" s="603"/>
      <c r="G90" s="603"/>
      <c r="H90" s="603"/>
      <c r="I90" s="603"/>
      <c r="J90" s="603"/>
      <c r="K90" s="603"/>
      <c r="L90" s="603"/>
      <c r="M90" s="603"/>
      <c r="N90" s="603"/>
      <c r="O90" s="603"/>
      <c r="P90" s="603"/>
      <c r="Q90" s="595"/>
      <c r="R90" s="595"/>
      <c r="S90" s="595"/>
      <c r="T90" s="595"/>
      <c r="U90" s="595"/>
      <c r="V90" s="595"/>
      <c r="W90" s="594"/>
      <c r="X90" s="594"/>
      <c r="Y90" s="595"/>
      <c r="Z90" s="595"/>
      <c r="AA90" s="595"/>
      <c r="AB90" s="595"/>
      <c r="AC90" s="595"/>
    </row>
    <row r="91" spans="1:29" ht="12.75" customHeight="1">
      <c r="A91" s="601"/>
      <c r="B91" s="602"/>
      <c r="C91" s="602"/>
      <c r="D91" s="603"/>
      <c r="E91" s="603"/>
      <c r="F91" s="603"/>
      <c r="G91" s="603"/>
      <c r="H91" s="603"/>
      <c r="I91" s="603"/>
      <c r="J91" s="603"/>
      <c r="K91" s="603"/>
      <c r="L91" s="603"/>
      <c r="M91" s="603"/>
      <c r="N91" s="603"/>
      <c r="O91" s="603"/>
      <c r="P91" s="603"/>
      <c r="Q91" s="595"/>
      <c r="R91" s="595"/>
      <c r="S91" s="595"/>
      <c r="T91" s="595"/>
      <c r="U91" s="595"/>
      <c r="V91" s="595"/>
      <c r="W91" s="594"/>
      <c r="X91" s="594"/>
      <c r="Y91" s="595"/>
      <c r="Z91" s="595"/>
      <c r="AA91" s="595"/>
      <c r="AB91" s="595"/>
      <c r="AC91" s="595"/>
    </row>
    <row r="92" spans="1:29" ht="12.75" customHeight="1">
      <c r="A92" s="601"/>
      <c r="B92" s="602"/>
      <c r="C92" s="602"/>
      <c r="D92" s="603"/>
      <c r="E92" s="603"/>
      <c r="F92" s="603"/>
      <c r="G92" s="603"/>
      <c r="H92" s="603"/>
      <c r="I92" s="603"/>
      <c r="J92" s="603"/>
      <c r="K92" s="603"/>
      <c r="L92" s="603"/>
      <c r="M92" s="603"/>
      <c r="N92" s="603"/>
      <c r="O92" s="603"/>
      <c r="P92" s="603"/>
      <c r="Q92" s="595"/>
      <c r="R92" s="595"/>
      <c r="S92" s="595"/>
      <c r="T92" s="595"/>
      <c r="U92" s="595"/>
      <c r="V92" s="595"/>
      <c r="W92" s="594"/>
      <c r="X92" s="594"/>
      <c r="Y92" s="595"/>
      <c r="Z92" s="595"/>
      <c r="AA92" s="595"/>
      <c r="AB92" s="595"/>
      <c r="AC92" s="595"/>
    </row>
    <row r="93" spans="1:29" ht="12.75" customHeight="1">
      <c r="A93" s="601"/>
      <c r="B93" s="602"/>
      <c r="C93" s="602"/>
      <c r="D93" s="603"/>
      <c r="E93" s="603"/>
      <c r="F93" s="603"/>
      <c r="G93" s="603"/>
      <c r="H93" s="603"/>
      <c r="I93" s="603"/>
      <c r="J93" s="603"/>
      <c r="K93" s="603"/>
      <c r="L93" s="603"/>
      <c r="M93" s="603"/>
      <c r="N93" s="603"/>
      <c r="O93" s="603"/>
      <c r="P93" s="603"/>
      <c r="Q93" s="595"/>
      <c r="R93" s="595"/>
      <c r="S93" s="595"/>
      <c r="T93" s="595"/>
      <c r="U93" s="595"/>
      <c r="V93" s="595"/>
      <c r="W93" s="594"/>
      <c r="X93" s="594"/>
      <c r="Y93" s="595"/>
      <c r="Z93" s="595"/>
      <c r="AA93" s="595"/>
      <c r="AB93" s="595"/>
      <c r="AC93" s="595"/>
    </row>
    <row r="94" spans="1:29" ht="12.75" customHeight="1">
      <c r="A94" s="601"/>
      <c r="B94" s="602"/>
      <c r="C94" s="602"/>
      <c r="D94" s="603"/>
      <c r="E94" s="603"/>
      <c r="F94" s="603"/>
      <c r="G94" s="603"/>
      <c r="H94" s="603"/>
      <c r="I94" s="603"/>
      <c r="J94" s="603"/>
      <c r="K94" s="603"/>
      <c r="L94" s="603"/>
      <c r="M94" s="603"/>
      <c r="N94" s="603"/>
      <c r="O94" s="603"/>
      <c r="P94" s="603"/>
      <c r="Q94" s="595"/>
      <c r="R94" s="595"/>
      <c r="S94" s="595"/>
      <c r="T94" s="595"/>
      <c r="U94" s="595"/>
      <c r="V94" s="595"/>
      <c r="W94" s="594"/>
      <c r="X94" s="594"/>
      <c r="Y94" s="595"/>
      <c r="Z94" s="595"/>
      <c r="AA94" s="595"/>
      <c r="AB94" s="595"/>
      <c r="AC94" s="595"/>
    </row>
    <row r="95" spans="1:29" ht="12.75" customHeight="1">
      <c r="A95" s="601"/>
      <c r="B95" s="602"/>
      <c r="C95" s="602"/>
      <c r="D95" s="603"/>
      <c r="E95" s="603"/>
      <c r="F95" s="603"/>
      <c r="G95" s="603"/>
      <c r="H95" s="603"/>
      <c r="I95" s="603"/>
      <c r="J95" s="603"/>
      <c r="K95" s="603"/>
      <c r="L95" s="603"/>
      <c r="M95" s="603"/>
      <c r="N95" s="603"/>
      <c r="O95" s="603"/>
      <c r="P95" s="603"/>
      <c r="Q95" s="595"/>
      <c r="R95" s="595"/>
      <c r="S95" s="595"/>
      <c r="T95" s="595"/>
      <c r="U95" s="595"/>
      <c r="V95" s="595"/>
      <c r="W95" s="594"/>
      <c r="X95" s="594"/>
      <c r="Y95" s="595"/>
      <c r="Z95" s="595"/>
      <c r="AA95" s="595"/>
      <c r="AB95" s="595"/>
      <c r="AC95" s="595"/>
    </row>
    <row r="96" spans="1:29" ht="12.75" customHeight="1">
      <c r="A96" s="601"/>
      <c r="B96" s="602"/>
      <c r="C96" s="602"/>
      <c r="D96" s="603"/>
      <c r="E96" s="603"/>
      <c r="F96" s="603"/>
      <c r="G96" s="603"/>
      <c r="H96" s="603"/>
      <c r="I96" s="603"/>
      <c r="J96" s="603"/>
      <c r="K96" s="603"/>
      <c r="L96" s="603"/>
      <c r="M96" s="603"/>
      <c r="N96" s="603"/>
      <c r="O96" s="603"/>
      <c r="P96" s="603"/>
      <c r="Q96" s="595"/>
      <c r="R96" s="595"/>
      <c r="S96" s="595"/>
      <c r="T96" s="595"/>
      <c r="U96" s="595"/>
      <c r="V96" s="595"/>
      <c r="W96" s="594"/>
      <c r="X96" s="594"/>
      <c r="Y96" s="595"/>
      <c r="Z96" s="595"/>
      <c r="AA96" s="595"/>
      <c r="AB96" s="595"/>
      <c r="AC96" s="595"/>
    </row>
    <row r="97" spans="1:29" ht="12.75" customHeight="1">
      <c r="A97" s="601"/>
      <c r="B97" s="602"/>
      <c r="C97" s="602"/>
      <c r="D97" s="603"/>
      <c r="E97" s="603"/>
      <c r="F97" s="603"/>
      <c r="G97" s="603"/>
      <c r="H97" s="603"/>
      <c r="I97" s="603"/>
      <c r="J97" s="603"/>
      <c r="K97" s="603"/>
      <c r="L97" s="603"/>
      <c r="M97" s="603"/>
      <c r="N97" s="603"/>
      <c r="O97" s="603"/>
      <c r="P97" s="603"/>
      <c r="Q97" s="595"/>
      <c r="R97" s="595"/>
      <c r="S97" s="595"/>
      <c r="T97" s="595"/>
      <c r="U97" s="595"/>
      <c r="V97" s="595"/>
      <c r="W97" s="594"/>
      <c r="X97" s="594"/>
      <c r="Y97" s="595"/>
      <c r="Z97" s="595"/>
      <c r="AA97" s="595"/>
      <c r="AB97" s="595"/>
      <c r="AC97" s="595"/>
    </row>
    <row r="98" spans="1:29" ht="12.75" customHeight="1">
      <c r="A98" s="601"/>
      <c r="B98" s="602"/>
      <c r="C98" s="602"/>
      <c r="D98" s="603"/>
      <c r="E98" s="603"/>
      <c r="F98" s="603"/>
      <c r="G98" s="603"/>
      <c r="H98" s="603"/>
      <c r="I98" s="603"/>
      <c r="J98" s="603"/>
      <c r="K98" s="603"/>
      <c r="L98" s="603"/>
      <c r="M98" s="603"/>
      <c r="N98" s="603"/>
      <c r="O98" s="603"/>
      <c r="P98" s="603"/>
      <c r="Q98" s="595"/>
      <c r="R98" s="595"/>
      <c r="S98" s="595"/>
      <c r="T98" s="595"/>
      <c r="U98" s="595"/>
      <c r="V98" s="595"/>
      <c r="W98" s="594"/>
      <c r="X98" s="594"/>
      <c r="Y98" s="595"/>
      <c r="Z98" s="595"/>
      <c r="AA98" s="595"/>
      <c r="AB98" s="595"/>
      <c r="AC98" s="595"/>
    </row>
    <row r="99" spans="1:29" ht="12.75" customHeight="1">
      <c r="A99" s="601"/>
      <c r="B99" s="602"/>
      <c r="C99" s="602"/>
      <c r="D99" s="603"/>
      <c r="E99" s="603"/>
      <c r="F99" s="603"/>
      <c r="G99" s="603"/>
      <c r="H99" s="603"/>
      <c r="I99" s="603"/>
      <c r="J99" s="603"/>
      <c r="K99" s="603"/>
      <c r="L99" s="603"/>
      <c r="M99" s="603"/>
      <c r="N99" s="603"/>
      <c r="O99" s="603"/>
      <c r="P99" s="603"/>
      <c r="Q99" s="595"/>
      <c r="R99" s="595"/>
      <c r="S99" s="595"/>
      <c r="T99" s="595"/>
      <c r="U99" s="595"/>
      <c r="V99" s="595"/>
      <c r="W99" s="594"/>
      <c r="X99" s="594"/>
      <c r="Y99" s="595"/>
      <c r="Z99" s="595"/>
      <c r="AA99" s="595"/>
      <c r="AB99" s="595"/>
      <c r="AC99" s="595"/>
    </row>
    <row r="100" spans="1:29" ht="12.75" customHeight="1">
      <c r="A100" s="601"/>
      <c r="B100" s="602"/>
      <c r="C100" s="602"/>
      <c r="D100" s="603"/>
      <c r="E100" s="603"/>
      <c r="F100" s="603"/>
      <c r="G100" s="603"/>
      <c r="H100" s="603"/>
      <c r="I100" s="603"/>
      <c r="J100" s="603"/>
      <c r="K100" s="603"/>
      <c r="L100" s="603"/>
      <c r="M100" s="603"/>
      <c r="N100" s="603"/>
      <c r="O100" s="603"/>
      <c r="P100" s="603"/>
      <c r="Q100" s="595"/>
      <c r="R100" s="595"/>
      <c r="S100" s="595"/>
      <c r="T100" s="595"/>
      <c r="U100" s="595"/>
      <c r="V100" s="595"/>
      <c r="W100" s="594"/>
      <c r="X100" s="594"/>
      <c r="Y100" s="595"/>
      <c r="Z100" s="595"/>
      <c r="AA100" s="595"/>
      <c r="AB100" s="595"/>
      <c r="AC100" s="595"/>
    </row>
    <row r="101" spans="1:29" ht="12.75" customHeight="1">
      <c r="A101" s="601"/>
      <c r="B101" s="602"/>
      <c r="C101" s="602"/>
      <c r="D101" s="603"/>
      <c r="E101" s="603"/>
      <c r="F101" s="603"/>
      <c r="G101" s="603"/>
      <c r="H101" s="603"/>
      <c r="I101" s="603"/>
      <c r="J101" s="603"/>
      <c r="K101" s="603"/>
      <c r="L101" s="603"/>
      <c r="M101" s="603"/>
      <c r="N101" s="603"/>
      <c r="O101" s="603"/>
      <c r="P101" s="603"/>
      <c r="Q101" s="595"/>
      <c r="R101" s="595"/>
      <c r="S101" s="595"/>
      <c r="T101" s="595"/>
      <c r="U101" s="595"/>
      <c r="V101" s="595"/>
      <c r="W101" s="594"/>
      <c r="X101" s="594"/>
      <c r="Y101" s="595"/>
      <c r="Z101" s="595"/>
      <c r="AA101" s="595"/>
      <c r="AB101" s="595"/>
      <c r="AC101" s="595"/>
    </row>
    <row r="102" spans="1:29" ht="12.75" customHeight="1">
      <c r="A102" s="601"/>
      <c r="B102" s="602"/>
      <c r="C102" s="602"/>
      <c r="D102" s="603"/>
      <c r="E102" s="603"/>
      <c r="F102" s="603"/>
      <c r="G102" s="603"/>
      <c r="H102" s="603"/>
      <c r="I102" s="603"/>
      <c r="J102" s="603"/>
      <c r="K102" s="603"/>
      <c r="L102" s="603"/>
      <c r="M102" s="603"/>
      <c r="N102" s="603"/>
      <c r="O102" s="603"/>
      <c r="P102" s="603"/>
      <c r="Q102" s="595"/>
      <c r="R102" s="595"/>
      <c r="S102" s="595"/>
      <c r="T102" s="595"/>
      <c r="U102" s="595"/>
      <c r="V102" s="595"/>
      <c r="W102" s="594"/>
      <c r="X102" s="594"/>
      <c r="Y102" s="595"/>
      <c r="Z102" s="595"/>
      <c r="AA102" s="595"/>
      <c r="AB102" s="595"/>
      <c r="AC102" s="595"/>
    </row>
    <row r="103" spans="1:29" ht="12.75" customHeight="1">
      <c r="A103" s="601"/>
      <c r="B103" s="602"/>
      <c r="C103" s="602"/>
      <c r="D103" s="603"/>
      <c r="E103" s="603"/>
      <c r="F103" s="603"/>
      <c r="G103" s="603"/>
      <c r="H103" s="603"/>
      <c r="I103" s="603"/>
      <c r="J103" s="603"/>
      <c r="K103" s="603"/>
      <c r="L103" s="603"/>
      <c r="M103" s="603"/>
      <c r="N103" s="603"/>
      <c r="O103" s="603"/>
      <c r="P103" s="603"/>
      <c r="Q103" s="595"/>
      <c r="R103" s="595"/>
      <c r="S103" s="595"/>
      <c r="T103" s="595"/>
      <c r="U103" s="595"/>
      <c r="V103" s="595"/>
      <c r="W103" s="594"/>
      <c r="X103" s="594"/>
      <c r="Y103" s="595"/>
      <c r="Z103" s="595"/>
      <c r="AA103" s="595"/>
      <c r="AB103" s="595"/>
      <c r="AC103" s="595"/>
    </row>
    <row r="104" spans="1:29" ht="12.75" customHeight="1">
      <c r="A104" s="601"/>
      <c r="B104" s="602"/>
      <c r="C104" s="602"/>
      <c r="D104" s="603"/>
      <c r="E104" s="603"/>
      <c r="F104" s="603"/>
      <c r="G104" s="603"/>
      <c r="H104" s="603"/>
      <c r="I104" s="603"/>
      <c r="J104" s="603"/>
      <c r="K104" s="603"/>
      <c r="L104" s="603"/>
      <c r="M104" s="603"/>
      <c r="N104" s="603"/>
      <c r="O104" s="603"/>
      <c r="P104" s="603"/>
      <c r="Q104" s="595"/>
      <c r="R104" s="595"/>
      <c r="S104" s="595"/>
      <c r="T104" s="595"/>
      <c r="U104" s="595"/>
      <c r="V104" s="595"/>
      <c r="W104" s="594"/>
      <c r="X104" s="594"/>
      <c r="Y104" s="595"/>
      <c r="Z104" s="595"/>
      <c r="AA104" s="595"/>
      <c r="AB104" s="595"/>
      <c r="AC104" s="595"/>
    </row>
    <row r="105" spans="1:29" ht="12.75" customHeight="1">
      <c r="A105" s="601"/>
      <c r="B105" s="602"/>
      <c r="C105" s="602"/>
      <c r="D105" s="603"/>
      <c r="E105" s="603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595"/>
      <c r="R105" s="595"/>
      <c r="S105" s="595"/>
      <c r="T105" s="595"/>
      <c r="U105" s="595"/>
      <c r="V105" s="595"/>
      <c r="W105" s="594"/>
      <c r="X105" s="594"/>
      <c r="Y105" s="595"/>
      <c r="Z105" s="595"/>
      <c r="AA105" s="595"/>
      <c r="AB105" s="595"/>
      <c r="AC105" s="595"/>
    </row>
    <row r="106" spans="1:29" ht="12.75" customHeight="1">
      <c r="A106" s="601"/>
      <c r="B106" s="602"/>
      <c r="C106" s="602"/>
      <c r="D106" s="603"/>
      <c r="E106" s="603"/>
      <c r="F106" s="603"/>
      <c r="G106" s="603"/>
      <c r="H106" s="603"/>
      <c r="I106" s="603"/>
      <c r="J106" s="603"/>
      <c r="K106" s="603"/>
      <c r="L106" s="603"/>
      <c r="M106" s="603"/>
      <c r="N106" s="603"/>
      <c r="O106" s="603"/>
      <c r="P106" s="603"/>
      <c r="Q106" s="595"/>
      <c r="R106" s="595"/>
      <c r="S106" s="595"/>
      <c r="T106" s="595"/>
      <c r="U106" s="595"/>
      <c r="V106" s="595"/>
      <c r="W106" s="594"/>
      <c r="X106" s="594"/>
      <c r="Y106" s="595"/>
      <c r="Z106" s="595"/>
      <c r="AA106" s="595"/>
      <c r="AB106" s="595"/>
      <c r="AC106" s="595"/>
    </row>
    <row r="107" spans="1:29" ht="12.75" customHeight="1">
      <c r="A107" s="601"/>
      <c r="B107" s="602"/>
      <c r="C107" s="602"/>
      <c r="D107" s="603"/>
      <c r="E107" s="603"/>
      <c r="F107" s="603"/>
      <c r="G107" s="603"/>
      <c r="H107" s="603"/>
      <c r="I107" s="603"/>
      <c r="J107" s="603"/>
      <c r="K107" s="603"/>
      <c r="L107" s="603"/>
      <c r="M107" s="603"/>
      <c r="N107" s="603"/>
      <c r="O107" s="603"/>
      <c r="P107" s="603"/>
      <c r="Q107" s="595"/>
      <c r="R107" s="595"/>
      <c r="S107" s="595"/>
      <c r="T107" s="595"/>
      <c r="U107" s="595"/>
      <c r="V107" s="595"/>
      <c r="W107" s="594"/>
      <c r="X107" s="594"/>
      <c r="Y107" s="595"/>
      <c r="Z107" s="595"/>
      <c r="AA107" s="595"/>
      <c r="AB107" s="595"/>
      <c r="AC107" s="595"/>
    </row>
    <row r="108" spans="1:29" ht="12.75" customHeight="1">
      <c r="A108" s="601"/>
      <c r="B108" s="602"/>
      <c r="C108" s="602"/>
      <c r="D108" s="603"/>
      <c r="E108" s="603"/>
      <c r="F108" s="603"/>
      <c r="G108" s="603"/>
      <c r="H108" s="603"/>
      <c r="I108" s="603"/>
      <c r="J108" s="603"/>
      <c r="K108" s="603"/>
      <c r="L108" s="603"/>
      <c r="M108" s="603"/>
      <c r="N108" s="603"/>
      <c r="O108" s="603"/>
      <c r="P108" s="603"/>
      <c r="Q108" s="595"/>
      <c r="R108" s="595"/>
      <c r="S108" s="595"/>
      <c r="T108" s="595"/>
      <c r="U108" s="595"/>
      <c r="V108" s="595"/>
      <c r="W108" s="594"/>
      <c r="X108" s="594"/>
      <c r="Y108" s="595"/>
      <c r="Z108" s="595"/>
      <c r="AA108" s="595"/>
      <c r="AB108" s="595"/>
      <c r="AC108" s="595"/>
    </row>
    <row r="109" spans="1:29" ht="12.75" customHeight="1">
      <c r="A109" s="601"/>
      <c r="B109" s="602"/>
      <c r="C109" s="602"/>
      <c r="D109" s="603"/>
      <c r="E109" s="603"/>
      <c r="F109" s="603"/>
      <c r="G109" s="603"/>
      <c r="H109" s="603"/>
      <c r="I109" s="603"/>
      <c r="J109" s="603"/>
      <c r="K109" s="603"/>
      <c r="L109" s="603"/>
      <c r="M109" s="603"/>
      <c r="N109" s="603"/>
      <c r="O109" s="603"/>
      <c r="P109" s="603"/>
      <c r="Q109" s="595"/>
      <c r="R109" s="595"/>
      <c r="S109" s="595"/>
      <c r="T109" s="595"/>
      <c r="U109" s="595"/>
      <c r="V109" s="595"/>
      <c r="W109" s="594"/>
      <c r="X109" s="594"/>
      <c r="Y109" s="595"/>
      <c r="Z109" s="595"/>
      <c r="AA109" s="595"/>
      <c r="AB109" s="595"/>
      <c r="AC109" s="595"/>
    </row>
    <row r="110" spans="1:29" ht="12.75" customHeight="1">
      <c r="A110" s="601"/>
      <c r="B110" s="602"/>
      <c r="C110" s="602"/>
      <c r="D110" s="603"/>
      <c r="E110" s="603"/>
      <c r="F110" s="603"/>
      <c r="G110" s="603"/>
      <c r="H110" s="603"/>
      <c r="I110" s="603"/>
      <c r="J110" s="603"/>
      <c r="K110" s="603"/>
      <c r="L110" s="603"/>
      <c r="M110" s="603"/>
      <c r="N110" s="603"/>
      <c r="O110" s="603"/>
      <c r="P110" s="603"/>
      <c r="Q110" s="595"/>
      <c r="R110" s="595"/>
      <c r="S110" s="595"/>
      <c r="T110" s="595"/>
      <c r="U110" s="595"/>
      <c r="V110" s="595"/>
      <c r="W110" s="594"/>
      <c r="X110" s="594"/>
      <c r="Y110" s="595"/>
      <c r="Z110" s="595"/>
      <c r="AA110" s="595"/>
      <c r="AB110" s="595"/>
      <c r="AC110" s="595"/>
    </row>
    <row r="111" spans="1:29" ht="12.75" customHeight="1">
      <c r="A111" s="601"/>
      <c r="B111" s="602"/>
      <c r="C111" s="602"/>
      <c r="D111" s="603"/>
      <c r="E111" s="603"/>
      <c r="F111" s="603"/>
      <c r="G111" s="603"/>
      <c r="H111" s="603"/>
      <c r="I111" s="603"/>
      <c r="J111" s="603"/>
      <c r="K111" s="603"/>
      <c r="L111" s="603"/>
      <c r="M111" s="603"/>
      <c r="N111" s="603"/>
      <c r="O111" s="603"/>
      <c r="P111" s="603"/>
      <c r="Q111" s="595"/>
      <c r="R111" s="595"/>
      <c r="S111" s="595"/>
      <c r="T111" s="595"/>
      <c r="U111" s="595"/>
      <c r="V111" s="595"/>
      <c r="W111" s="594"/>
      <c r="X111" s="594"/>
      <c r="Y111" s="595"/>
      <c r="Z111" s="595"/>
      <c r="AA111" s="595"/>
      <c r="AB111" s="595"/>
      <c r="AC111" s="595"/>
    </row>
    <row r="112" spans="1:29" ht="12.75" customHeight="1">
      <c r="A112" s="601"/>
      <c r="B112" s="602"/>
      <c r="C112" s="602"/>
      <c r="D112" s="603"/>
      <c r="E112" s="603"/>
      <c r="F112" s="603"/>
      <c r="G112" s="603"/>
      <c r="H112" s="603"/>
      <c r="I112" s="603"/>
      <c r="J112" s="603"/>
      <c r="K112" s="603"/>
      <c r="L112" s="603"/>
      <c r="M112" s="603"/>
      <c r="N112" s="603"/>
      <c r="O112" s="603"/>
      <c r="P112" s="603"/>
      <c r="Q112" s="595"/>
      <c r="R112" s="595"/>
      <c r="S112" s="595"/>
      <c r="T112" s="595"/>
      <c r="U112" s="595"/>
      <c r="V112" s="595"/>
      <c r="W112" s="594"/>
      <c r="X112" s="594"/>
      <c r="Y112" s="595"/>
      <c r="Z112" s="595"/>
      <c r="AA112" s="595"/>
      <c r="AB112" s="595"/>
      <c r="AC112" s="595"/>
    </row>
    <row r="113" spans="1:29" ht="12.75" customHeight="1">
      <c r="A113" s="601"/>
      <c r="B113" s="602"/>
      <c r="C113" s="602"/>
      <c r="D113" s="603"/>
      <c r="E113" s="603"/>
      <c r="F113" s="603"/>
      <c r="G113" s="603"/>
      <c r="H113" s="603"/>
      <c r="I113" s="603"/>
      <c r="J113" s="603"/>
      <c r="K113" s="603"/>
      <c r="L113" s="603"/>
      <c r="M113" s="603"/>
      <c r="N113" s="603"/>
      <c r="O113" s="603"/>
      <c r="P113" s="603"/>
      <c r="Q113" s="595"/>
      <c r="R113" s="595"/>
      <c r="S113" s="595"/>
      <c r="T113" s="595"/>
      <c r="U113" s="595"/>
      <c r="V113" s="595"/>
      <c r="W113" s="594"/>
      <c r="X113" s="594"/>
      <c r="Y113" s="595"/>
      <c r="Z113" s="595"/>
      <c r="AA113" s="595"/>
      <c r="AB113" s="595"/>
      <c r="AC113" s="595"/>
    </row>
    <row r="114" spans="1:29" ht="12.75" customHeight="1">
      <c r="A114" s="601"/>
      <c r="B114" s="602"/>
      <c r="C114" s="602"/>
      <c r="D114" s="603"/>
      <c r="E114" s="603"/>
      <c r="F114" s="603"/>
      <c r="G114" s="603"/>
      <c r="H114" s="603"/>
      <c r="I114" s="603"/>
      <c r="J114" s="603"/>
      <c r="K114" s="603"/>
      <c r="L114" s="603"/>
      <c r="M114" s="603"/>
      <c r="N114" s="603"/>
      <c r="O114" s="603"/>
      <c r="P114" s="603"/>
      <c r="Q114" s="595"/>
      <c r="R114" s="595"/>
      <c r="S114" s="595"/>
      <c r="T114" s="595"/>
      <c r="U114" s="595"/>
      <c r="V114" s="595"/>
      <c r="W114" s="594"/>
      <c r="X114" s="594"/>
      <c r="Y114" s="595"/>
      <c r="Z114" s="595"/>
      <c r="AA114" s="595"/>
      <c r="AB114" s="595"/>
      <c r="AC114" s="595"/>
    </row>
    <row r="115" spans="1:29" ht="12.75" customHeight="1">
      <c r="A115" s="601"/>
      <c r="B115" s="602"/>
      <c r="C115" s="602"/>
      <c r="D115" s="603"/>
      <c r="E115" s="603"/>
      <c r="F115" s="603"/>
      <c r="G115" s="603"/>
      <c r="H115" s="603"/>
      <c r="I115" s="603"/>
      <c r="J115" s="603"/>
      <c r="K115" s="603"/>
      <c r="L115" s="603"/>
      <c r="M115" s="603"/>
      <c r="N115" s="603"/>
      <c r="O115" s="603"/>
      <c r="P115" s="603"/>
      <c r="Q115" s="595"/>
      <c r="R115" s="595"/>
      <c r="S115" s="595"/>
      <c r="T115" s="595"/>
      <c r="U115" s="595"/>
      <c r="V115" s="595"/>
      <c r="W115" s="594"/>
      <c r="X115" s="594"/>
      <c r="Y115" s="595"/>
      <c r="Z115" s="595"/>
      <c r="AA115" s="595"/>
      <c r="AB115" s="595"/>
      <c r="AC115" s="595"/>
    </row>
    <row r="116" spans="1:29" ht="12.75" customHeight="1">
      <c r="A116" s="601"/>
      <c r="B116" s="602"/>
      <c r="C116" s="602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3"/>
      <c r="Q116" s="595"/>
      <c r="R116" s="595"/>
      <c r="S116" s="595"/>
      <c r="T116" s="595"/>
      <c r="U116" s="595"/>
      <c r="V116" s="595"/>
      <c r="W116" s="594"/>
      <c r="X116" s="594"/>
      <c r="Y116" s="595"/>
      <c r="Z116" s="595"/>
      <c r="AA116" s="595"/>
      <c r="AB116" s="595"/>
      <c r="AC116" s="595"/>
    </row>
    <row r="117" spans="1:29" ht="12.75" customHeight="1">
      <c r="A117" s="601"/>
      <c r="B117" s="602"/>
      <c r="C117" s="602"/>
      <c r="D117" s="603"/>
      <c r="E117" s="603"/>
      <c r="F117" s="603"/>
      <c r="G117" s="603"/>
      <c r="H117" s="603"/>
      <c r="I117" s="603"/>
      <c r="J117" s="603"/>
      <c r="K117" s="603"/>
      <c r="L117" s="603"/>
      <c r="M117" s="603"/>
      <c r="N117" s="603"/>
      <c r="O117" s="603"/>
      <c r="P117" s="603"/>
      <c r="Q117" s="595"/>
      <c r="R117" s="595"/>
      <c r="S117" s="595"/>
      <c r="T117" s="595"/>
      <c r="U117" s="595"/>
      <c r="V117" s="595"/>
      <c r="W117" s="594"/>
      <c r="X117" s="594"/>
      <c r="Y117" s="595"/>
      <c r="Z117" s="595"/>
      <c r="AA117" s="595"/>
      <c r="AB117" s="595"/>
      <c r="AC117" s="595"/>
    </row>
    <row r="118" spans="1:29" ht="12.75" customHeight="1">
      <c r="A118" s="601"/>
      <c r="B118" s="602"/>
      <c r="C118" s="602"/>
      <c r="D118" s="603"/>
      <c r="E118" s="603"/>
      <c r="F118" s="603"/>
      <c r="G118" s="603"/>
      <c r="H118" s="603"/>
      <c r="I118" s="603"/>
      <c r="J118" s="603"/>
      <c r="K118" s="603"/>
      <c r="L118" s="603"/>
      <c r="M118" s="603"/>
      <c r="N118" s="603"/>
      <c r="O118" s="603"/>
      <c r="P118" s="603"/>
      <c r="Q118" s="595"/>
      <c r="R118" s="595"/>
      <c r="S118" s="595"/>
      <c r="T118" s="595"/>
      <c r="U118" s="595"/>
      <c r="V118" s="595"/>
      <c r="W118" s="594"/>
      <c r="X118" s="594"/>
      <c r="Y118" s="595"/>
      <c r="Z118" s="595"/>
      <c r="AA118" s="595"/>
      <c r="AB118" s="595"/>
      <c r="AC118" s="595"/>
    </row>
    <row r="119" spans="1:29" ht="12.75" customHeight="1">
      <c r="A119" s="601"/>
      <c r="B119" s="602"/>
      <c r="C119" s="602"/>
      <c r="D119" s="603"/>
      <c r="E119" s="603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595"/>
      <c r="R119" s="595"/>
      <c r="S119" s="595"/>
      <c r="T119" s="595"/>
      <c r="U119" s="595"/>
      <c r="V119" s="595"/>
      <c r="W119" s="594"/>
      <c r="X119" s="594"/>
      <c r="Y119" s="595"/>
      <c r="Z119" s="595"/>
      <c r="AA119" s="595"/>
      <c r="AB119" s="595"/>
      <c r="AC119" s="595"/>
    </row>
    <row r="120" spans="1:29" ht="12.75" customHeight="1">
      <c r="A120" s="601"/>
      <c r="B120" s="602"/>
      <c r="C120" s="602"/>
      <c r="D120" s="603"/>
      <c r="E120" s="603"/>
      <c r="F120" s="603"/>
      <c r="G120" s="603"/>
      <c r="H120" s="603"/>
      <c r="I120" s="603"/>
      <c r="J120" s="603"/>
      <c r="K120" s="603"/>
      <c r="L120" s="603"/>
      <c r="M120" s="603"/>
      <c r="N120" s="603"/>
      <c r="O120" s="603"/>
      <c r="P120" s="603"/>
      <c r="Q120" s="595"/>
      <c r="R120" s="595"/>
      <c r="S120" s="595"/>
      <c r="T120" s="595"/>
      <c r="U120" s="595"/>
      <c r="V120" s="595"/>
      <c r="W120" s="594"/>
      <c r="X120" s="594"/>
      <c r="Y120" s="595"/>
      <c r="Z120" s="595"/>
      <c r="AA120" s="595"/>
      <c r="AB120" s="595"/>
      <c r="AC120" s="595"/>
    </row>
    <row r="121" spans="1:29" ht="12.75" customHeight="1">
      <c r="A121" s="601"/>
      <c r="B121" s="602"/>
      <c r="C121" s="602"/>
      <c r="D121" s="603"/>
      <c r="E121" s="603"/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3"/>
      <c r="Q121" s="595"/>
      <c r="R121" s="595"/>
      <c r="S121" s="595"/>
      <c r="T121" s="595"/>
      <c r="U121" s="595"/>
      <c r="V121" s="595"/>
      <c r="W121" s="594"/>
      <c r="X121" s="594"/>
      <c r="Y121" s="595"/>
      <c r="Z121" s="595"/>
      <c r="AA121" s="595"/>
      <c r="AB121" s="595"/>
      <c r="AC121" s="595"/>
    </row>
    <row r="122" spans="1:29" ht="12.75" customHeight="1">
      <c r="A122" s="601"/>
      <c r="B122" s="602"/>
      <c r="C122" s="602"/>
      <c r="D122" s="603"/>
      <c r="E122" s="603"/>
      <c r="F122" s="603"/>
      <c r="G122" s="603"/>
      <c r="H122" s="603"/>
      <c r="I122" s="603"/>
      <c r="J122" s="603"/>
      <c r="K122" s="603"/>
      <c r="L122" s="603"/>
      <c r="M122" s="603"/>
      <c r="N122" s="603"/>
      <c r="O122" s="603"/>
      <c r="P122" s="603"/>
      <c r="Q122" s="595"/>
      <c r="R122" s="595"/>
      <c r="S122" s="595"/>
      <c r="T122" s="595"/>
      <c r="U122" s="595"/>
      <c r="V122" s="595"/>
      <c r="W122" s="594"/>
      <c r="X122" s="594"/>
      <c r="Y122" s="595"/>
      <c r="Z122" s="595"/>
      <c r="AA122" s="595"/>
      <c r="AB122" s="595"/>
      <c r="AC122" s="595"/>
    </row>
    <row r="123" spans="1:29" ht="12.75" customHeight="1">
      <c r="A123" s="601"/>
      <c r="B123" s="602"/>
      <c r="C123" s="602"/>
      <c r="D123" s="603"/>
      <c r="E123" s="603"/>
      <c r="F123" s="603"/>
      <c r="G123" s="603"/>
      <c r="H123" s="603"/>
      <c r="I123" s="603"/>
      <c r="J123" s="603"/>
      <c r="K123" s="603"/>
      <c r="L123" s="603"/>
      <c r="M123" s="603"/>
      <c r="N123" s="603"/>
      <c r="O123" s="603"/>
      <c r="P123" s="603"/>
      <c r="Q123" s="595"/>
      <c r="R123" s="595"/>
      <c r="S123" s="595"/>
      <c r="T123" s="595"/>
      <c r="U123" s="595"/>
      <c r="V123" s="595"/>
      <c r="W123" s="594"/>
      <c r="X123" s="594"/>
      <c r="Y123" s="595"/>
      <c r="Z123" s="595"/>
      <c r="AA123" s="595"/>
      <c r="AB123" s="595"/>
      <c r="AC123" s="595"/>
    </row>
    <row r="124" spans="1:29" ht="12.75" customHeight="1">
      <c r="A124" s="601"/>
      <c r="B124" s="602"/>
      <c r="C124" s="602"/>
      <c r="D124" s="603"/>
      <c r="E124" s="603"/>
      <c r="F124" s="603"/>
      <c r="G124" s="603"/>
      <c r="H124" s="603"/>
      <c r="I124" s="603"/>
      <c r="J124" s="603"/>
      <c r="K124" s="603"/>
      <c r="L124" s="603"/>
      <c r="M124" s="603"/>
      <c r="N124" s="603"/>
      <c r="O124" s="603"/>
      <c r="P124" s="603"/>
      <c r="Q124" s="595"/>
      <c r="R124" s="595"/>
      <c r="S124" s="595"/>
      <c r="T124" s="595"/>
      <c r="U124" s="595"/>
      <c r="V124" s="595"/>
      <c r="W124" s="594"/>
      <c r="X124" s="594"/>
      <c r="Y124" s="595"/>
      <c r="Z124" s="595"/>
      <c r="AA124" s="595"/>
      <c r="AB124" s="595"/>
      <c r="AC124" s="595"/>
    </row>
    <row r="125" spans="1:29" ht="12.75" customHeight="1">
      <c r="A125" s="601"/>
      <c r="B125" s="602"/>
      <c r="C125" s="602"/>
      <c r="D125" s="603"/>
      <c r="E125" s="603"/>
      <c r="F125" s="603"/>
      <c r="G125" s="603"/>
      <c r="H125" s="603"/>
      <c r="I125" s="603"/>
      <c r="J125" s="603"/>
      <c r="K125" s="603"/>
      <c r="L125" s="603"/>
      <c r="M125" s="603"/>
      <c r="N125" s="603"/>
      <c r="O125" s="603"/>
      <c r="P125" s="603"/>
      <c r="Q125" s="595"/>
      <c r="R125" s="595"/>
      <c r="S125" s="595"/>
      <c r="T125" s="595"/>
      <c r="U125" s="595"/>
      <c r="V125" s="595"/>
      <c r="W125" s="594"/>
      <c r="X125" s="594"/>
      <c r="Y125" s="595"/>
      <c r="Z125" s="595"/>
      <c r="AA125" s="595"/>
      <c r="AB125" s="595"/>
      <c r="AC125" s="595"/>
    </row>
    <row r="126" spans="1:29" ht="12.75" customHeight="1">
      <c r="A126" s="601"/>
      <c r="B126" s="602"/>
      <c r="C126" s="602"/>
      <c r="D126" s="603"/>
      <c r="E126" s="603"/>
      <c r="F126" s="603"/>
      <c r="G126" s="603"/>
      <c r="H126" s="603"/>
      <c r="I126" s="603"/>
      <c r="J126" s="603"/>
      <c r="K126" s="603"/>
      <c r="L126" s="603"/>
      <c r="M126" s="603"/>
      <c r="N126" s="603"/>
      <c r="O126" s="603"/>
      <c r="P126" s="603"/>
      <c r="Q126" s="595"/>
      <c r="R126" s="595"/>
      <c r="S126" s="595"/>
      <c r="T126" s="595"/>
      <c r="U126" s="595"/>
      <c r="V126" s="595"/>
      <c r="W126" s="594"/>
      <c r="X126" s="594"/>
      <c r="Y126" s="595"/>
      <c r="Z126" s="595"/>
      <c r="AA126" s="595"/>
      <c r="AB126" s="595"/>
      <c r="AC126" s="595"/>
    </row>
    <row r="127" spans="1:29" ht="12.75" customHeight="1">
      <c r="A127" s="601"/>
      <c r="B127" s="602"/>
      <c r="C127" s="602"/>
      <c r="D127" s="603"/>
      <c r="E127" s="603"/>
      <c r="F127" s="603"/>
      <c r="G127" s="603"/>
      <c r="H127" s="603"/>
      <c r="I127" s="603"/>
      <c r="J127" s="603"/>
      <c r="K127" s="603"/>
      <c r="L127" s="603"/>
      <c r="M127" s="603"/>
      <c r="N127" s="603"/>
      <c r="O127" s="603"/>
      <c r="P127" s="603"/>
      <c r="Q127" s="595"/>
      <c r="R127" s="595"/>
      <c r="S127" s="595"/>
      <c r="T127" s="595"/>
      <c r="U127" s="595"/>
      <c r="V127" s="595"/>
      <c r="W127" s="594"/>
      <c r="X127" s="594"/>
      <c r="Y127" s="595"/>
      <c r="Z127" s="595"/>
      <c r="AA127" s="595"/>
      <c r="AB127" s="595"/>
      <c r="AC127" s="595"/>
    </row>
    <row r="128" spans="1:29" ht="12.75" customHeight="1">
      <c r="A128" s="601"/>
      <c r="B128" s="602"/>
      <c r="C128" s="602"/>
      <c r="D128" s="603"/>
      <c r="E128" s="603"/>
      <c r="F128" s="603"/>
      <c r="G128" s="603"/>
      <c r="H128" s="603"/>
      <c r="I128" s="603"/>
      <c r="J128" s="603"/>
      <c r="K128" s="603"/>
      <c r="L128" s="603"/>
      <c r="M128" s="603"/>
      <c r="N128" s="603"/>
      <c r="O128" s="603"/>
      <c r="P128" s="603"/>
      <c r="Q128" s="595"/>
      <c r="R128" s="595"/>
      <c r="S128" s="595"/>
      <c r="T128" s="595"/>
      <c r="U128" s="595"/>
      <c r="V128" s="595"/>
      <c r="W128" s="594"/>
      <c r="X128" s="594"/>
      <c r="Y128" s="595"/>
      <c r="Z128" s="595"/>
      <c r="AA128" s="595"/>
      <c r="AB128" s="595"/>
      <c r="AC128" s="595"/>
    </row>
    <row r="129" spans="1:29" ht="12.75" customHeight="1">
      <c r="A129" s="601"/>
      <c r="B129" s="602"/>
      <c r="C129" s="602"/>
      <c r="D129" s="603"/>
      <c r="E129" s="603"/>
      <c r="F129" s="603"/>
      <c r="G129" s="603"/>
      <c r="H129" s="603"/>
      <c r="I129" s="603"/>
      <c r="J129" s="603"/>
      <c r="K129" s="603"/>
      <c r="L129" s="603"/>
      <c r="M129" s="603"/>
      <c r="N129" s="603"/>
      <c r="O129" s="603"/>
      <c r="P129" s="603"/>
      <c r="Q129" s="595"/>
      <c r="R129" s="595"/>
      <c r="S129" s="595"/>
      <c r="T129" s="595"/>
      <c r="U129" s="595"/>
      <c r="V129" s="595"/>
      <c r="W129" s="594"/>
      <c r="X129" s="594"/>
      <c r="Y129" s="595"/>
      <c r="Z129" s="595"/>
      <c r="AA129" s="595"/>
      <c r="AB129" s="595"/>
      <c r="AC129" s="595"/>
    </row>
    <row r="130" spans="1:29" ht="12.75" customHeight="1">
      <c r="A130" s="601"/>
      <c r="B130" s="602"/>
      <c r="C130" s="602"/>
      <c r="D130" s="603"/>
      <c r="E130" s="603"/>
      <c r="F130" s="603"/>
      <c r="G130" s="603"/>
      <c r="H130" s="603"/>
      <c r="I130" s="603"/>
      <c r="J130" s="603"/>
      <c r="K130" s="603"/>
      <c r="L130" s="603"/>
      <c r="M130" s="603"/>
      <c r="N130" s="603"/>
      <c r="O130" s="603"/>
      <c r="P130" s="603"/>
      <c r="Q130" s="595"/>
      <c r="R130" s="595"/>
      <c r="S130" s="595"/>
      <c r="T130" s="595"/>
      <c r="U130" s="595"/>
      <c r="V130" s="595"/>
      <c r="W130" s="594"/>
      <c r="X130" s="594"/>
      <c r="Y130" s="595"/>
      <c r="Z130" s="595"/>
      <c r="AA130" s="595"/>
      <c r="AB130" s="595"/>
      <c r="AC130" s="595"/>
    </row>
    <row r="131" spans="1:29" ht="12.75" customHeight="1">
      <c r="A131" s="601"/>
      <c r="B131" s="602"/>
      <c r="C131" s="602"/>
      <c r="D131" s="603"/>
      <c r="E131" s="603"/>
      <c r="F131" s="603"/>
      <c r="G131" s="603"/>
      <c r="H131" s="603"/>
      <c r="I131" s="603"/>
      <c r="J131" s="603"/>
      <c r="K131" s="603"/>
      <c r="L131" s="603"/>
      <c r="M131" s="603"/>
      <c r="N131" s="603"/>
      <c r="O131" s="603"/>
      <c r="P131" s="603"/>
      <c r="Q131" s="595"/>
      <c r="R131" s="595"/>
      <c r="S131" s="595"/>
      <c r="T131" s="595"/>
      <c r="U131" s="595"/>
      <c r="V131" s="595"/>
      <c r="W131" s="594"/>
      <c r="X131" s="594"/>
      <c r="Y131" s="595"/>
      <c r="Z131" s="595"/>
      <c r="AA131" s="595"/>
      <c r="AB131" s="595"/>
      <c r="AC131" s="595"/>
    </row>
    <row r="132" spans="1:29" ht="12.75" customHeight="1">
      <c r="A132" s="601"/>
      <c r="B132" s="602"/>
      <c r="C132" s="602"/>
      <c r="D132" s="603"/>
      <c r="E132" s="603"/>
      <c r="F132" s="603"/>
      <c r="G132" s="603"/>
      <c r="H132" s="603"/>
      <c r="I132" s="603"/>
      <c r="J132" s="603"/>
      <c r="K132" s="603"/>
      <c r="L132" s="603"/>
      <c r="M132" s="603"/>
      <c r="N132" s="603"/>
      <c r="O132" s="603"/>
      <c r="P132" s="603"/>
      <c r="Q132" s="595"/>
      <c r="R132" s="595"/>
      <c r="S132" s="595"/>
      <c r="T132" s="595"/>
      <c r="U132" s="595"/>
      <c r="V132" s="595"/>
      <c r="W132" s="594"/>
      <c r="X132" s="594"/>
      <c r="Y132" s="595"/>
      <c r="Z132" s="595"/>
      <c r="AA132" s="595"/>
      <c r="AB132" s="595"/>
      <c r="AC132" s="595"/>
    </row>
    <row r="133" spans="1:29" ht="12.75" customHeight="1">
      <c r="A133" s="601"/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3"/>
      <c r="M133" s="603"/>
      <c r="N133" s="603"/>
      <c r="O133" s="603"/>
      <c r="P133" s="603"/>
      <c r="Q133" s="595"/>
      <c r="R133" s="595"/>
      <c r="S133" s="595"/>
      <c r="T133" s="595"/>
      <c r="U133" s="595"/>
      <c r="V133" s="595"/>
      <c r="W133" s="594"/>
      <c r="X133" s="594"/>
      <c r="Y133" s="595"/>
      <c r="Z133" s="595"/>
      <c r="AA133" s="595"/>
      <c r="AB133" s="595"/>
      <c r="AC133" s="595"/>
    </row>
    <row r="134" spans="1:29" ht="12.75" customHeight="1">
      <c r="A134" s="601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3"/>
      <c r="M134" s="603"/>
      <c r="N134" s="603"/>
      <c r="O134" s="603"/>
      <c r="P134" s="603"/>
      <c r="Q134" s="595"/>
      <c r="R134" s="595"/>
      <c r="S134" s="595"/>
      <c r="T134" s="595"/>
      <c r="U134" s="595"/>
      <c r="V134" s="595"/>
      <c r="W134" s="594"/>
      <c r="X134" s="594"/>
      <c r="Y134" s="595"/>
      <c r="Z134" s="595"/>
      <c r="AA134" s="595"/>
      <c r="AB134" s="595"/>
      <c r="AC134" s="595"/>
    </row>
    <row r="135" spans="1:29" ht="12.75" customHeight="1">
      <c r="A135" s="601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3"/>
      <c r="M135" s="603"/>
      <c r="N135" s="603"/>
      <c r="O135" s="603"/>
      <c r="P135" s="603"/>
      <c r="Q135" s="595"/>
      <c r="R135" s="595"/>
      <c r="S135" s="595"/>
      <c r="T135" s="595"/>
      <c r="U135" s="595"/>
      <c r="V135" s="595"/>
      <c r="W135" s="594"/>
      <c r="X135" s="594"/>
      <c r="Y135" s="595"/>
      <c r="Z135" s="595"/>
      <c r="AA135" s="595"/>
      <c r="AB135" s="595"/>
      <c r="AC135" s="595"/>
    </row>
    <row r="136" spans="1:29" ht="12.75" customHeight="1">
      <c r="A136" s="601"/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3"/>
      <c r="M136" s="603"/>
      <c r="N136" s="603"/>
      <c r="O136" s="603"/>
      <c r="P136" s="603"/>
      <c r="Q136" s="595"/>
      <c r="R136" s="595"/>
      <c r="S136" s="595"/>
      <c r="T136" s="595"/>
      <c r="U136" s="595"/>
      <c r="V136" s="595"/>
      <c r="W136" s="594"/>
      <c r="X136" s="594"/>
      <c r="Y136" s="595"/>
      <c r="Z136" s="595"/>
      <c r="AA136" s="595"/>
      <c r="AB136" s="595"/>
      <c r="AC136" s="595"/>
    </row>
    <row r="137" spans="1:29" ht="12.75" customHeight="1">
      <c r="A137" s="601"/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3"/>
      <c r="M137" s="603"/>
      <c r="N137" s="603"/>
      <c r="O137" s="603"/>
      <c r="P137" s="603"/>
      <c r="Q137" s="595"/>
      <c r="R137" s="595"/>
      <c r="S137" s="595"/>
      <c r="T137" s="595"/>
      <c r="U137" s="595"/>
      <c r="V137" s="595"/>
      <c r="W137" s="594"/>
      <c r="X137" s="594"/>
      <c r="Y137" s="595"/>
      <c r="Z137" s="595"/>
      <c r="AA137" s="595"/>
      <c r="AB137" s="595"/>
      <c r="AC137" s="595"/>
    </row>
    <row r="138" spans="1:29" ht="12.75" customHeight="1">
      <c r="A138" s="601"/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3"/>
      <c r="M138" s="603"/>
      <c r="N138" s="603"/>
      <c r="O138" s="603"/>
      <c r="P138" s="603"/>
      <c r="Q138" s="595"/>
      <c r="R138" s="595"/>
      <c r="S138" s="595"/>
      <c r="T138" s="595"/>
      <c r="U138" s="595"/>
      <c r="V138" s="595"/>
      <c r="W138" s="594"/>
      <c r="X138" s="594"/>
      <c r="Y138" s="595"/>
      <c r="Z138" s="595"/>
      <c r="AA138" s="595"/>
      <c r="AB138" s="595"/>
      <c r="AC138" s="595"/>
    </row>
    <row r="139" spans="1:29" ht="12.75" customHeight="1">
      <c r="A139" s="601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3"/>
      <c r="M139" s="603"/>
      <c r="N139" s="603"/>
      <c r="O139" s="603"/>
      <c r="P139" s="603"/>
      <c r="Q139" s="595"/>
      <c r="R139" s="595"/>
      <c r="S139" s="595"/>
      <c r="T139" s="595"/>
      <c r="U139" s="595"/>
      <c r="V139" s="595"/>
      <c r="W139" s="594"/>
      <c r="X139" s="594"/>
      <c r="Y139" s="595"/>
      <c r="Z139" s="595"/>
      <c r="AA139" s="595"/>
      <c r="AB139" s="595"/>
      <c r="AC139" s="595"/>
    </row>
    <row r="140" spans="1:29" ht="12.75" customHeight="1">
      <c r="A140" s="601"/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3"/>
      <c r="M140" s="603"/>
      <c r="N140" s="603"/>
      <c r="O140" s="603"/>
      <c r="P140" s="603"/>
      <c r="Q140" s="595"/>
      <c r="R140" s="595"/>
      <c r="S140" s="595"/>
      <c r="T140" s="595"/>
      <c r="U140" s="595"/>
      <c r="V140" s="595"/>
      <c r="W140" s="594"/>
      <c r="X140" s="594"/>
      <c r="Y140" s="595"/>
      <c r="Z140" s="595"/>
      <c r="AA140" s="595"/>
      <c r="AB140" s="595"/>
      <c r="AC140" s="595"/>
    </row>
    <row r="141" spans="1:29" ht="12.75" customHeight="1">
      <c r="A141" s="601"/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3"/>
      <c r="M141" s="603"/>
      <c r="N141" s="603"/>
      <c r="O141" s="603"/>
      <c r="P141" s="603"/>
      <c r="Q141" s="595"/>
      <c r="R141" s="595"/>
      <c r="S141" s="595"/>
      <c r="T141" s="595"/>
      <c r="U141" s="595"/>
      <c r="V141" s="595"/>
      <c r="W141" s="594"/>
      <c r="X141" s="594"/>
      <c r="Y141" s="595"/>
      <c r="Z141" s="595"/>
      <c r="AA141" s="595"/>
      <c r="AB141" s="595"/>
      <c r="AC141" s="595"/>
    </row>
    <row r="142" spans="1:29" ht="12.75" customHeight="1">
      <c r="A142" s="601"/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3"/>
      <c r="M142" s="603"/>
      <c r="N142" s="603"/>
      <c r="O142" s="603"/>
      <c r="P142" s="603"/>
      <c r="Q142" s="595"/>
      <c r="R142" s="595"/>
      <c r="S142" s="595"/>
      <c r="T142" s="595"/>
      <c r="U142" s="595"/>
      <c r="V142" s="595"/>
      <c r="W142" s="594"/>
      <c r="X142" s="594"/>
      <c r="Y142" s="595"/>
      <c r="Z142" s="595"/>
      <c r="AA142" s="595"/>
      <c r="AB142" s="595"/>
      <c r="AC142" s="595"/>
    </row>
    <row r="143" spans="1:29" ht="12.75" customHeight="1">
      <c r="A143" s="601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3"/>
      <c r="M143" s="603"/>
      <c r="N143" s="603"/>
      <c r="O143" s="603"/>
      <c r="P143" s="603"/>
      <c r="Q143" s="595"/>
      <c r="R143" s="595"/>
      <c r="S143" s="595"/>
      <c r="T143" s="595"/>
      <c r="U143" s="595"/>
      <c r="V143" s="595"/>
      <c r="W143" s="594"/>
      <c r="X143" s="594"/>
      <c r="Y143" s="595"/>
      <c r="Z143" s="595"/>
      <c r="AA143" s="595"/>
      <c r="AB143" s="595"/>
      <c r="AC143" s="595"/>
    </row>
    <row r="144" spans="1:29" ht="12.75" customHeight="1">
      <c r="A144" s="601"/>
      <c r="B144" s="602"/>
      <c r="C144" s="602"/>
      <c r="D144" s="602"/>
      <c r="E144" s="602"/>
      <c r="F144" s="602"/>
      <c r="G144" s="602"/>
      <c r="H144" s="602"/>
      <c r="I144" s="602"/>
      <c r="J144" s="602"/>
      <c r="K144" s="602"/>
      <c r="L144" s="603"/>
      <c r="M144" s="603"/>
      <c r="N144" s="603"/>
      <c r="O144" s="603"/>
      <c r="P144" s="603"/>
      <c r="Q144" s="595"/>
      <c r="R144" s="595"/>
      <c r="S144" s="595"/>
      <c r="T144" s="595"/>
      <c r="U144" s="595"/>
      <c r="V144" s="595"/>
      <c r="W144" s="594"/>
      <c r="X144" s="594"/>
      <c r="Y144" s="595"/>
      <c r="Z144" s="595"/>
      <c r="AA144" s="595"/>
      <c r="AB144" s="595"/>
      <c r="AC144" s="595"/>
    </row>
    <row r="145" spans="1:29" ht="12.75" customHeight="1">
      <c r="A145" s="601"/>
      <c r="B145" s="602"/>
      <c r="C145" s="602"/>
      <c r="D145" s="602"/>
      <c r="E145" s="602"/>
      <c r="F145" s="602"/>
      <c r="G145" s="602"/>
      <c r="H145" s="602"/>
      <c r="I145" s="602"/>
      <c r="J145" s="602"/>
      <c r="K145" s="602"/>
      <c r="L145" s="603"/>
      <c r="M145" s="603"/>
      <c r="N145" s="603"/>
      <c r="O145" s="603"/>
      <c r="P145" s="603"/>
      <c r="Q145" s="595"/>
      <c r="R145" s="595"/>
      <c r="S145" s="595"/>
      <c r="T145" s="595"/>
      <c r="U145" s="595"/>
      <c r="V145" s="595"/>
      <c r="W145" s="594"/>
      <c r="X145" s="594"/>
      <c r="Y145" s="595"/>
      <c r="Z145" s="595"/>
      <c r="AA145" s="595"/>
      <c r="AB145" s="595"/>
      <c r="AC145" s="595"/>
    </row>
    <row r="146" spans="1:29" ht="12.75" customHeight="1">
      <c r="A146" s="601"/>
      <c r="B146" s="602"/>
      <c r="C146" s="602"/>
      <c r="D146" s="602"/>
      <c r="E146" s="602"/>
      <c r="F146" s="602"/>
      <c r="G146" s="602"/>
      <c r="H146" s="602"/>
      <c r="I146" s="602"/>
      <c r="J146" s="602"/>
      <c r="K146" s="602"/>
      <c r="L146" s="603"/>
      <c r="M146" s="603"/>
      <c r="N146" s="603"/>
      <c r="O146" s="603"/>
      <c r="P146" s="603"/>
      <c r="Q146" s="595"/>
      <c r="R146" s="595"/>
      <c r="S146" s="595"/>
      <c r="T146" s="595"/>
      <c r="U146" s="595"/>
      <c r="V146" s="595"/>
      <c r="W146" s="594"/>
      <c r="X146" s="594"/>
      <c r="Y146" s="595"/>
      <c r="Z146" s="595"/>
      <c r="AA146" s="595"/>
      <c r="AB146" s="595"/>
      <c r="AC146" s="595"/>
    </row>
    <row r="147" spans="1:29" ht="12.75" customHeight="1">
      <c r="A147" s="601"/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3"/>
      <c r="M147" s="603"/>
      <c r="N147" s="603"/>
      <c r="O147" s="603"/>
      <c r="P147" s="603"/>
      <c r="Q147" s="595"/>
      <c r="R147" s="595"/>
      <c r="S147" s="595"/>
      <c r="T147" s="595"/>
      <c r="U147" s="595"/>
      <c r="V147" s="595"/>
      <c r="W147" s="594"/>
      <c r="X147" s="594"/>
      <c r="Y147" s="595"/>
      <c r="Z147" s="595"/>
      <c r="AA147" s="595"/>
      <c r="AB147" s="595"/>
      <c r="AC147" s="595"/>
    </row>
    <row r="148" spans="1:29" ht="12.75" customHeight="1">
      <c r="A148" s="601"/>
      <c r="B148" s="602"/>
      <c r="C148" s="602"/>
      <c r="D148" s="602"/>
      <c r="E148" s="602"/>
      <c r="F148" s="602"/>
      <c r="G148" s="602"/>
      <c r="H148" s="602"/>
      <c r="I148" s="602"/>
      <c r="J148" s="602"/>
      <c r="K148" s="602"/>
      <c r="L148" s="603"/>
      <c r="M148" s="603"/>
      <c r="N148" s="603"/>
      <c r="O148" s="603"/>
      <c r="P148" s="603"/>
      <c r="Q148" s="595"/>
      <c r="R148" s="595"/>
      <c r="S148" s="595"/>
      <c r="T148" s="595"/>
      <c r="U148" s="595"/>
      <c r="V148" s="595"/>
      <c r="W148" s="594"/>
      <c r="X148" s="594"/>
      <c r="Y148" s="595"/>
      <c r="Z148" s="595"/>
      <c r="AA148" s="595"/>
      <c r="AB148" s="595"/>
      <c r="AC148" s="595"/>
    </row>
    <row r="149" spans="1:29" ht="12.75" customHeight="1">
      <c r="A149" s="601"/>
      <c r="B149" s="602"/>
      <c r="C149" s="602"/>
      <c r="D149" s="602"/>
      <c r="E149" s="602"/>
      <c r="F149" s="602"/>
      <c r="G149" s="602"/>
      <c r="H149" s="602"/>
      <c r="I149" s="602"/>
      <c r="J149" s="602"/>
      <c r="K149" s="602"/>
      <c r="L149" s="603"/>
      <c r="M149" s="603"/>
      <c r="N149" s="603"/>
      <c r="O149" s="603"/>
      <c r="P149" s="603"/>
      <c r="Q149" s="595"/>
      <c r="R149" s="595"/>
      <c r="S149" s="595"/>
      <c r="T149" s="595"/>
      <c r="U149" s="595"/>
      <c r="V149" s="595"/>
      <c r="W149" s="594"/>
      <c r="X149" s="594"/>
      <c r="Y149" s="595"/>
      <c r="Z149" s="595"/>
      <c r="AA149" s="595"/>
      <c r="AB149" s="595"/>
      <c r="AC149" s="595"/>
    </row>
    <row r="150" spans="1:29" ht="12.75" customHeight="1">
      <c r="A150" s="601"/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3"/>
      <c r="M150" s="603"/>
      <c r="N150" s="603"/>
      <c r="O150" s="603"/>
      <c r="P150" s="603"/>
      <c r="Q150" s="595"/>
      <c r="R150" s="595"/>
      <c r="S150" s="595"/>
      <c r="T150" s="595"/>
      <c r="U150" s="595"/>
      <c r="V150" s="595"/>
      <c r="W150" s="594"/>
      <c r="X150" s="594"/>
      <c r="Y150" s="595"/>
      <c r="Z150" s="595"/>
      <c r="AA150" s="595"/>
      <c r="AB150" s="595"/>
      <c r="AC150" s="595"/>
    </row>
    <row r="151" spans="1:29" ht="12.75" customHeight="1">
      <c r="A151" s="601"/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3"/>
      <c r="M151" s="603"/>
      <c r="N151" s="603"/>
      <c r="O151" s="603"/>
      <c r="P151" s="603"/>
      <c r="Q151" s="595"/>
      <c r="R151" s="595"/>
      <c r="S151" s="595"/>
      <c r="T151" s="595"/>
      <c r="U151" s="595"/>
      <c r="V151" s="595"/>
      <c r="W151" s="594"/>
      <c r="X151" s="594"/>
      <c r="Y151" s="595"/>
      <c r="Z151" s="595"/>
      <c r="AA151" s="595"/>
      <c r="AB151" s="595"/>
      <c r="AC151" s="595"/>
    </row>
    <row r="152" spans="1:29" ht="12.75" customHeight="1">
      <c r="A152" s="601"/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3"/>
      <c r="M152" s="603"/>
      <c r="N152" s="603"/>
      <c r="O152" s="603"/>
      <c r="P152" s="603"/>
      <c r="Q152" s="595"/>
      <c r="R152" s="595"/>
      <c r="S152" s="595"/>
      <c r="T152" s="595"/>
      <c r="U152" s="595"/>
      <c r="V152" s="595"/>
      <c r="W152" s="594"/>
      <c r="X152" s="594"/>
      <c r="Y152" s="595"/>
      <c r="Z152" s="595"/>
      <c r="AA152" s="595"/>
      <c r="AB152" s="595"/>
      <c r="AC152" s="595"/>
    </row>
    <row r="153" spans="1:29" ht="12.75" customHeight="1">
      <c r="A153" s="601"/>
      <c r="B153" s="602"/>
      <c r="C153" s="602"/>
      <c r="D153" s="602"/>
      <c r="E153" s="602"/>
      <c r="F153" s="602"/>
      <c r="G153" s="602"/>
      <c r="H153" s="602"/>
      <c r="I153" s="602"/>
      <c r="J153" s="602"/>
      <c r="K153" s="602"/>
      <c r="L153" s="603"/>
      <c r="M153" s="603"/>
      <c r="N153" s="603"/>
      <c r="O153" s="603"/>
      <c r="P153" s="603"/>
      <c r="Q153" s="595"/>
      <c r="R153" s="595"/>
      <c r="S153" s="595"/>
      <c r="T153" s="595"/>
      <c r="U153" s="595"/>
      <c r="V153" s="595"/>
      <c r="W153" s="594"/>
      <c r="X153" s="594"/>
      <c r="Y153" s="595"/>
      <c r="Z153" s="595"/>
      <c r="AA153" s="595"/>
      <c r="AB153" s="595"/>
      <c r="AC153" s="595"/>
    </row>
    <row r="154" spans="1:29" ht="12.75" customHeight="1">
      <c r="A154" s="601"/>
      <c r="B154" s="602"/>
      <c r="C154" s="602"/>
      <c r="D154" s="602"/>
      <c r="E154" s="602"/>
      <c r="F154" s="602"/>
      <c r="G154" s="602"/>
      <c r="H154" s="602"/>
      <c r="I154" s="602"/>
      <c r="J154" s="602"/>
      <c r="K154" s="602"/>
      <c r="L154" s="603"/>
      <c r="M154" s="603"/>
      <c r="N154" s="603"/>
      <c r="O154" s="603"/>
      <c r="P154" s="603"/>
      <c r="Q154" s="595"/>
      <c r="R154" s="595"/>
      <c r="S154" s="595"/>
      <c r="T154" s="595"/>
      <c r="U154" s="595"/>
      <c r="V154" s="595"/>
      <c r="W154" s="594"/>
      <c r="X154" s="594"/>
      <c r="Y154" s="595"/>
      <c r="Z154" s="595"/>
      <c r="AA154" s="595"/>
      <c r="AB154" s="595"/>
      <c r="AC154" s="595"/>
    </row>
    <row r="155" spans="1:29" ht="12.75" customHeight="1">
      <c r="A155" s="601"/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3"/>
      <c r="M155" s="603"/>
      <c r="N155" s="603"/>
      <c r="O155" s="603"/>
      <c r="P155" s="603"/>
      <c r="Q155" s="595"/>
      <c r="R155" s="595"/>
      <c r="S155" s="595"/>
      <c r="T155" s="595"/>
      <c r="U155" s="595"/>
      <c r="V155" s="595"/>
      <c r="W155" s="594"/>
      <c r="X155" s="594"/>
      <c r="Y155" s="595"/>
      <c r="Z155" s="595"/>
      <c r="AA155" s="595"/>
      <c r="AB155" s="595"/>
      <c r="AC155" s="595"/>
    </row>
    <row r="156" spans="1:29" ht="12.75" customHeight="1">
      <c r="A156" s="601"/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3"/>
      <c r="M156" s="603"/>
      <c r="N156" s="603"/>
      <c r="O156" s="603"/>
      <c r="P156" s="603"/>
      <c r="Q156" s="595"/>
      <c r="R156" s="595"/>
      <c r="S156" s="595"/>
      <c r="T156" s="595"/>
      <c r="U156" s="595"/>
      <c r="V156" s="595"/>
      <c r="W156" s="594"/>
      <c r="X156" s="594"/>
      <c r="Y156" s="595"/>
      <c r="Z156" s="595"/>
      <c r="AA156" s="595"/>
      <c r="AB156" s="595"/>
      <c r="AC156" s="595"/>
    </row>
    <row r="157" spans="1:29" ht="12.75" customHeight="1">
      <c r="A157" s="601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3"/>
      <c r="M157" s="603"/>
      <c r="N157" s="603"/>
      <c r="O157" s="603"/>
      <c r="P157" s="603"/>
      <c r="Q157" s="595"/>
      <c r="R157" s="595"/>
      <c r="S157" s="595"/>
      <c r="T157" s="595"/>
      <c r="U157" s="595"/>
      <c r="V157" s="595"/>
      <c r="W157" s="594"/>
      <c r="X157" s="594"/>
      <c r="Y157" s="595"/>
      <c r="Z157" s="595"/>
      <c r="AA157" s="595"/>
      <c r="AB157" s="595"/>
      <c r="AC157" s="595"/>
    </row>
    <row r="158" spans="1:29" ht="12.75" customHeight="1">
      <c r="A158" s="601"/>
      <c r="B158" s="602"/>
      <c r="C158" s="602"/>
      <c r="D158" s="602"/>
      <c r="E158" s="602"/>
      <c r="F158" s="602"/>
      <c r="G158" s="602"/>
      <c r="H158" s="602"/>
      <c r="I158" s="602"/>
      <c r="J158" s="602"/>
      <c r="K158" s="602"/>
      <c r="L158" s="603"/>
      <c r="M158" s="603"/>
      <c r="N158" s="603"/>
      <c r="O158" s="603"/>
      <c r="P158" s="603"/>
      <c r="Q158" s="595"/>
      <c r="R158" s="595"/>
      <c r="S158" s="595"/>
      <c r="T158" s="595"/>
      <c r="U158" s="595"/>
      <c r="V158" s="595"/>
      <c r="W158" s="594"/>
      <c r="X158" s="594"/>
      <c r="Y158" s="595"/>
      <c r="Z158" s="595"/>
      <c r="AA158" s="595"/>
      <c r="AB158" s="595"/>
      <c r="AC158" s="595"/>
    </row>
    <row r="159" spans="1:29" ht="12.75" customHeight="1">
      <c r="A159" s="601"/>
      <c r="B159" s="602"/>
      <c r="C159" s="602"/>
      <c r="D159" s="602"/>
      <c r="E159" s="602"/>
      <c r="F159" s="602"/>
      <c r="G159" s="602"/>
      <c r="H159" s="602"/>
      <c r="I159" s="602"/>
      <c r="J159" s="602"/>
      <c r="K159" s="602"/>
      <c r="L159" s="603"/>
      <c r="M159" s="603"/>
      <c r="N159" s="603"/>
      <c r="O159" s="603"/>
      <c r="P159" s="603"/>
      <c r="Q159" s="595"/>
      <c r="R159" s="595"/>
      <c r="S159" s="595"/>
      <c r="T159" s="595"/>
      <c r="U159" s="595"/>
      <c r="V159" s="595"/>
      <c r="W159" s="594"/>
      <c r="X159" s="594"/>
      <c r="Y159" s="595"/>
      <c r="Z159" s="595"/>
      <c r="AA159" s="595"/>
      <c r="AB159" s="595"/>
      <c r="AC159" s="595"/>
    </row>
    <row r="160" spans="1:29" ht="12.75" customHeight="1">
      <c r="A160" s="601"/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3"/>
      <c r="M160" s="603"/>
      <c r="N160" s="603"/>
      <c r="O160" s="603"/>
      <c r="P160" s="603"/>
      <c r="Q160" s="595"/>
      <c r="R160" s="595"/>
      <c r="S160" s="595"/>
      <c r="T160" s="595"/>
      <c r="U160" s="595"/>
      <c r="V160" s="595"/>
      <c r="W160" s="594"/>
      <c r="X160" s="594"/>
      <c r="Y160" s="595"/>
      <c r="Z160" s="595"/>
      <c r="AA160" s="595"/>
      <c r="AB160" s="595"/>
      <c r="AC160" s="595"/>
    </row>
    <row r="161" spans="1:29" ht="12.75" customHeight="1">
      <c r="A161" s="601"/>
      <c r="B161" s="602"/>
      <c r="C161" s="602"/>
      <c r="D161" s="602"/>
      <c r="E161" s="602"/>
      <c r="F161" s="602"/>
      <c r="G161" s="602"/>
      <c r="H161" s="602"/>
      <c r="I161" s="602"/>
      <c r="J161" s="602"/>
      <c r="K161" s="602"/>
      <c r="L161" s="603"/>
      <c r="M161" s="603"/>
      <c r="N161" s="603"/>
      <c r="O161" s="603"/>
      <c r="P161" s="603"/>
      <c r="Q161" s="595"/>
      <c r="R161" s="595"/>
      <c r="S161" s="595"/>
      <c r="T161" s="595"/>
      <c r="U161" s="595"/>
      <c r="V161" s="595"/>
      <c r="W161" s="594"/>
      <c r="X161" s="594"/>
      <c r="Y161" s="595"/>
      <c r="Z161" s="595"/>
      <c r="AA161" s="595"/>
      <c r="AB161" s="595"/>
      <c r="AC161" s="595"/>
    </row>
    <row r="162" spans="1:29" ht="12.75" customHeight="1">
      <c r="A162" s="601"/>
      <c r="B162" s="602"/>
      <c r="C162" s="602"/>
      <c r="D162" s="602"/>
      <c r="E162" s="602"/>
      <c r="F162" s="602"/>
      <c r="G162" s="602"/>
      <c r="H162" s="602"/>
      <c r="I162" s="602"/>
      <c r="J162" s="602"/>
      <c r="K162" s="602"/>
      <c r="L162" s="603"/>
      <c r="M162" s="603"/>
      <c r="N162" s="603"/>
      <c r="O162" s="603"/>
      <c r="P162" s="603"/>
      <c r="Q162" s="595"/>
      <c r="R162" s="595"/>
      <c r="S162" s="595"/>
      <c r="T162" s="595"/>
      <c r="U162" s="595"/>
      <c r="V162" s="595"/>
      <c r="W162" s="594"/>
      <c r="X162" s="594"/>
      <c r="Y162" s="595"/>
      <c r="Z162" s="595"/>
      <c r="AA162" s="595"/>
      <c r="AB162" s="595"/>
      <c r="AC162" s="595"/>
    </row>
    <row r="163" spans="1:29" ht="12.75" customHeight="1">
      <c r="A163" s="601"/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3"/>
      <c r="M163" s="603"/>
      <c r="N163" s="603"/>
      <c r="O163" s="603"/>
      <c r="P163" s="603"/>
      <c r="Q163" s="595"/>
      <c r="R163" s="595"/>
      <c r="S163" s="595"/>
      <c r="T163" s="595"/>
      <c r="U163" s="595"/>
      <c r="V163" s="595"/>
      <c r="W163" s="594"/>
      <c r="X163" s="594"/>
      <c r="Y163" s="595"/>
      <c r="Z163" s="595"/>
      <c r="AA163" s="595"/>
      <c r="AB163" s="595"/>
      <c r="AC163" s="595"/>
    </row>
    <row r="164" spans="1:29" ht="12.75" customHeight="1">
      <c r="A164" s="601"/>
      <c r="B164" s="602"/>
      <c r="C164" s="602"/>
      <c r="D164" s="602"/>
      <c r="E164" s="602"/>
      <c r="F164" s="602"/>
      <c r="G164" s="602"/>
      <c r="H164" s="602"/>
      <c r="I164" s="602"/>
      <c r="J164" s="602"/>
      <c r="K164" s="602"/>
      <c r="L164" s="603"/>
      <c r="M164" s="603"/>
      <c r="N164" s="603"/>
      <c r="O164" s="603"/>
      <c r="P164" s="603"/>
      <c r="Q164" s="595"/>
      <c r="R164" s="595"/>
      <c r="S164" s="595"/>
      <c r="T164" s="595"/>
      <c r="U164" s="595"/>
      <c r="V164" s="595"/>
      <c r="W164" s="594"/>
      <c r="X164" s="594"/>
      <c r="Y164" s="595"/>
      <c r="Z164" s="595"/>
      <c r="AA164" s="595"/>
      <c r="AB164" s="595"/>
      <c r="AC164" s="595"/>
    </row>
    <row r="165" spans="1:29" ht="12.75" customHeight="1">
      <c r="A165" s="601"/>
      <c r="B165" s="602"/>
      <c r="C165" s="602"/>
      <c r="D165" s="602"/>
      <c r="E165" s="602"/>
      <c r="F165" s="602"/>
      <c r="G165" s="602"/>
      <c r="H165" s="602"/>
      <c r="I165" s="602"/>
      <c r="J165" s="602"/>
      <c r="K165" s="602"/>
      <c r="L165" s="603"/>
      <c r="M165" s="603"/>
      <c r="N165" s="603"/>
      <c r="O165" s="603"/>
      <c r="P165" s="603"/>
      <c r="Q165" s="595"/>
      <c r="R165" s="595"/>
      <c r="S165" s="595"/>
      <c r="T165" s="595"/>
      <c r="U165" s="595"/>
      <c r="V165" s="595"/>
      <c r="W165" s="594"/>
      <c r="X165" s="594"/>
      <c r="Y165" s="595"/>
      <c r="Z165" s="595"/>
      <c r="AA165" s="595"/>
      <c r="AB165" s="595"/>
      <c r="AC165" s="595"/>
    </row>
    <row r="166" spans="1:29" ht="12.75" customHeight="1">
      <c r="A166" s="601"/>
      <c r="B166" s="602"/>
      <c r="C166" s="602"/>
      <c r="D166" s="602"/>
      <c r="E166" s="602"/>
      <c r="F166" s="602"/>
      <c r="G166" s="602"/>
      <c r="H166" s="602"/>
      <c r="I166" s="602"/>
      <c r="J166" s="602"/>
      <c r="K166" s="602"/>
      <c r="L166" s="603"/>
      <c r="M166" s="603"/>
      <c r="N166" s="603"/>
      <c r="O166" s="603"/>
      <c r="P166" s="603"/>
      <c r="Q166" s="595"/>
      <c r="R166" s="595"/>
      <c r="S166" s="595"/>
      <c r="T166" s="595"/>
      <c r="U166" s="595"/>
      <c r="V166" s="595"/>
      <c r="W166" s="594"/>
      <c r="X166" s="594"/>
      <c r="Y166" s="595"/>
      <c r="Z166" s="595"/>
      <c r="AA166" s="595"/>
      <c r="AB166" s="595"/>
      <c r="AC166" s="595"/>
    </row>
    <row r="167" spans="1:29" ht="12.75" customHeight="1">
      <c r="A167" s="601"/>
      <c r="B167" s="602"/>
      <c r="C167" s="602"/>
      <c r="D167" s="602"/>
      <c r="E167" s="602"/>
      <c r="F167" s="602"/>
      <c r="G167" s="602"/>
      <c r="H167" s="602"/>
      <c r="I167" s="602"/>
      <c r="J167" s="602"/>
      <c r="K167" s="602"/>
      <c r="L167" s="603"/>
      <c r="M167" s="603"/>
      <c r="N167" s="603"/>
      <c r="O167" s="603"/>
      <c r="P167" s="603"/>
      <c r="Q167" s="595"/>
      <c r="R167" s="595"/>
      <c r="S167" s="595"/>
      <c r="T167" s="595"/>
      <c r="U167" s="595"/>
      <c r="V167" s="595"/>
      <c r="W167" s="594"/>
      <c r="X167" s="594"/>
      <c r="Y167" s="595"/>
      <c r="Z167" s="595"/>
      <c r="AA167" s="595"/>
      <c r="AB167" s="595"/>
      <c r="AC167" s="595"/>
    </row>
    <row r="168" spans="1:29" ht="12.75" customHeight="1">
      <c r="A168" s="601"/>
      <c r="B168" s="602"/>
      <c r="C168" s="602"/>
      <c r="D168" s="602"/>
      <c r="E168" s="602"/>
      <c r="F168" s="602"/>
      <c r="G168" s="602"/>
      <c r="H168" s="602"/>
      <c r="I168" s="602"/>
      <c r="J168" s="602"/>
      <c r="K168" s="602"/>
      <c r="L168" s="603"/>
      <c r="M168" s="603"/>
      <c r="N168" s="603"/>
      <c r="O168" s="603"/>
      <c r="P168" s="603"/>
      <c r="Q168" s="595"/>
      <c r="R168" s="595"/>
      <c r="S168" s="595"/>
      <c r="T168" s="595"/>
      <c r="U168" s="595"/>
      <c r="V168" s="595"/>
      <c r="W168" s="594"/>
      <c r="X168" s="594"/>
      <c r="Y168" s="595"/>
      <c r="Z168" s="595"/>
      <c r="AA168" s="595"/>
      <c r="AB168" s="595"/>
      <c r="AC168" s="595"/>
    </row>
    <row r="169" spans="1:29" ht="12.75" customHeight="1">
      <c r="A169" s="601"/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3"/>
      <c r="M169" s="603"/>
      <c r="N169" s="603"/>
      <c r="O169" s="603"/>
      <c r="P169" s="603"/>
      <c r="Q169" s="595"/>
      <c r="R169" s="595"/>
      <c r="S169" s="595"/>
      <c r="T169" s="595"/>
      <c r="U169" s="595"/>
      <c r="V169" s="595"/>
      <c r="W169" s="594"/>
      <c r="X169" s="594"/>
      <c r="Y169" s="595"/>
      <c r="Z169" s="595"/>
      <c r="AA169" s="595"/>
      <c r="AB169" s="595"/>
      <c r="AC169" s="595"/>
    </row>
    <row r="170" spans="1:29" ht="12.75" customHeight="1">
      <c r="A170" s="601"/>
      <c r="B170" s="602"/>
      <c r="C170" s="602"/>
      <c r="D170" s="602"/>
      <c r="E170" s="602"/>
      <c r="F170" s="602"/>
      <c r="G170" s="602"/>
      <c r="H170" s="602"/>
      <c r="I170" s="602"/>
      <c r="J170" s="602"/>
      <c r="K170" s="602"/>
      <c r="L170" s="603"/>
      <c r="M170" s="603"/>
      <c r="N170" s="603"/>
      <c r="O170" s="603"/>
      <c r="P170" s="603"/>
      <c r="Q170" s="595"/>
      <c r="R170" s="595"/>
      <c r="S170" s="595"/>
      <c r="T170" s="595"/>
      <c r="U170" s="595"/>
      <c r="V170" s="595"/>
      <c r="W170" s="594"/>
      <c r="X170" s="594"/>
      <c r="Y170" s="595"/>
      <c r="Z170" s="595"/>
      <c r="AA170" s="595"/>
      <c r="AB170" s="595"/>
      <c r="AC170" s="595"/>
    </row>
    <row r="171" spans="1:29" ht="12.75" customHeight="1">
      <c r="A171" s="601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3"/>
      <c r="M171" s="603"/>
      <c r="N171" s="603"/>
      <c r="O171" s="603"/>
      <c r="P171" s="603"/>
      <c r="Q171" s="595"/>
      <c r="R171" s="595"/>
      <c r="S171" s="595"/>
      <c r="T171" s="595"/>
      <c r="U171" s="595"/>
      <c r="V171" s="595"/>
      <c r="W171" s="594"/>
      <c r="X171" s="594"/>
      <c r="Y171" s="595"/>
      <c r="Z171" s="595"/>
      <c r="AA171" s="595"/>
      <c r="AB171" s="595"/>
      <c r="AC171" s="595"/>
    </row>
    <row r="172" spans="1:29" ht="12.75" customHeight="1">
      <c r="A172" s="601"/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3"/>
      <c r="M172" s="603"/>
      <c r="N172" s="603"/>
      <c r="O172" s="603"/>
      <c r="P172" s="603"/>
      <c r="Q172" s="595"/>
      <c r="R172" s="595"/>
      <c r="S172" s="595"/>
      <c r="T172" s="595"/>
      <c r="U172" s="595"/>
      <c r="V172" s="595"/>
      <c r="W172" s="594"/>
      <c r="X172" s="594"/>
      <c r="Y172" s="595"/>
      <c r="Z172" s="595"/>
      <c r="AA172" s="595"/>
      <c r="AB172" s="595"/>
      <c r="AC172" s="595"/>
    </row>
    <row r="173" spans="1:29" ht="12.75" customHeight="1">
      <c r="A173" s="601"/>
      <c r="B173" s="602"/>
      <c r="C173" s="602"/>
      <c r="D173" s="602"/>
      <c r="E173" s="602"/>
      <c r="F173" s="602"/>
      <c r="G173" s="602"/>
      <c r="H173" s="602"/>
      <c r="I173" s="602"/>
      <c r="J173" s="602"/>
      <c r="K173" s="602"/>
      <c r="L173" s="603"/>
      <c r="M173" s="603"/>
      <c r="N173" s="603"/>
      <c r="O173" s="603"/>
      <c r="P173" s="603"/>
      <c r="Q173" s="595"/>
      <c r="R173" s="595"/>
      <c r="S173" s="595"/>
      <c r="T173" s="595"/>
      <c r="U173" s="595"/>
      <c r="V173" s="595"/>
      <c r="W173" s="594"/>
      <c r="X173" s="594"/>
      <c r="Y173" s="595"/>
      <c r="Z173" s="595"/>
      <c r="AA173" s="595"/>
      <c r="AB173" s="595"/>
      <c r="AC173" s="595"/>
    </row>
    <row r="174" spans="1:29" ht="12.75" customHeight="1">
      <c r="A174" s="601"/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3"/>
      <c r="M174" s="603"/>
      <c r="N174" s="603"/>
      <c r="O174" s="603"/>
      <c r="P174" s="603"/>
      <c r="Q174" s="595"/>
      <c r="R174" s="595"/>
      <c r="S174" s="595"/>
      <c r="T174" s="595"/>
      <c r="U174" s="595"/>
      <c r="V174" s="595"/>
      <c r="W174" s="594"/>
      <c r="X174" s="594"/>
      <c r="Y174" s="595"/>
      <c r="Z174" s="595"/>
      <c r="AA174" s="595"/>
      <c r="AB174" s="595"/>
      <c r="AC174" s="595"/>
    </row>
    <row r="175" spans="1:29" ht="12.75" customHeight="1">
      <c r="A175" s="601"/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3"/>
      <c r="M175" s="603"/>
      <c r="N175" s="603"/>
      <c r="O175" s="603"/>
      <c r="P175" s="603"/>
      <c r="Q175" s="595"/>
      <c r="R175" s="595"/>
      <c r="S175" s="595"/>
      <c r="T175" s="595"/>
      <c r="U175" s="595"/>
      <c r="V175" s="595"/>
      <c r="W175" s="594"/>
      <c r="X175" s="594"/>
      <c r="Y175" s="595"/>
      <c r="Z175" s="595"/>
      <c r="AA175" s="595"/>
      <c r="AB175" s="595"/>
      <c r="AC175" s="595"/>
    </row>
    <row r="176" spans="1:29" ht="12.75" customHeight="1">
      <c r="A176" s="601"/>
      <c r="B176" s="602"/>
      <c r="C176" s="602"/>
      <c r="D176" s="602"/>
      <c r="E176" s="602"/>
      <c r="F176" s="602"/>
      <c r="G176" s="602"/>
      <c r="H176" s="602"/>
      <c r="I176" s="602"/>
      <c r="J176" s="602"/>
      <c r="K176" s="602"/>
      <c r="L176" s="603"/>
      <c r="M176" s="603"/>
      <c r="N176" s="603"/>
      <c r="O176" s="603"/>
      <c r="P176" s="603"/>
      <c r="Q176" s="595"/>
      <c r="R176" s="595"/>
      <c r="S176" s="595"/>
      <c r="T176" s="595"/>
      <c r="U176" s="595"/>
      <c r="V176" s="595"/>
      <c r="W176" s="594"/>
      <c r="X176" s="594"/>
      <c r="Y176" s="595"/>
      <c r="Z176" s="595"/>
      <c r="AA176" s="595"/>
      <c r="AB176" s="595"/>
      <c r="AC176" s="595"/>
    </row>
    <row r="177" spans="1:29" ht="12.75" customHeight="1">
      <c r="A177" s="601"/>
      <c r="B177" s="602"/>
      <c r="C177" s="602"/>
      <c r="D177" s="602"/>
      <c r="E177" s="602"/>
      <c r="F177" s="602"/>
      <c r="G177" s="602"/>
      <c r="H177" s="602"/>
      <c r="I177" s="602"/>
      <c r="J177" s="602"/>
      <c r="K177" s="602"/>
      <c r="L177" s="603"/>
      <c r="M177" s="603"/>
      <c r="N177" s="603"/>
      <c r="O177" s="603"/>
      <c r="P177" s="603"/>
      <c r="Q177" s="595"/>
      <c r="R177" s="595"/>
      <c r="S177" s="595"/>
      <c r="T177" s="595"/>
      <c r="U177" s="595"/>
      <c r="V177" s="595"/>
      <c r="W177" s="594"/>
      <c r="X177" s="594"/>
      <c r="Y177" s="595"/>
      <c r="Z177" s="595"/>
      <c r="AA177" s="595"/>
      <c r="AB177" s="595"/>
      <c r="AC177" s="595"/>
    </row>
    <row r="178" spans="1:29" ht="12.75" customHeight="1">
      <c r="A178" s="601"/>
      <c r="B178" s="602"/>
      <c r="C178" s="602"/>
      <c r="D178" s="602"/>
      <c r="E178" s="602"/>
      <c r="F178" s="602"/>
      <c r="G178" s="602"/>
      <c r="H178" s="602"/>
      <c r="I178" s="602"/>
      <c r="J178" s="602"/>
      <c r="K178" s="602"/>
      <c r="L178" s="603"/>
      <c r="M178" s="603"/>
      <c r="N178" s="603"/>
      <c r="O178" s="603"/>
      <c r="P178" s="603"/>
      <c r="Q178" s="595"/>
      <c r="R178" s="595"/>
      <c r="S178" s="595"/>
      <c r="T178" s="595"/>
      <c r="U178" s="595"/>
      <c r="V178" s="595"/>
      <c r="W178" s="594"/>
      <c r="X178" s="594"/>
      <c r="Y178" s="595"/>
      <c r="Z178" s="595"/>
      <c r="AA178" s="595"/>
      <c r="AB178" s="595"/>
      <c r="AC178" s="595"/>
    </row>
    <row r="179" spans="1:29" ht="12.75" customHeight="1">
      <c r="A179" s="601"/>
      <c r="B179" s="602"/>
      <c r="C179" s="602"/>
      <c r="D179" s="602"/>
      <c r="E179" s="602"/>
      <c r="F179" s="602"/>
      <c r="G179" s="602"/>
      <c r="H179" s="602"/>
      <c r="I179" s="602"/>
      <c r="J179" s="602"/>
      <c r="K179" s="602"/>
      <c r="L179" s="603"/>
      <c r="M179" s="603"/>
      <c r="N179" s="603"/>
      <c r="O179" s="603"/>
      <c r="P179" s="603"/>
      <c r="Q179" s="595"/>
      <c r="R179" s="595"/>
      <c r="S179" s="595"/>
      <c r="T179" s="595"/>
      <c r="U179" s="595"/>
      <c r="V179" s="595"/>
      <c r="W179" s="594"/>
      <c r="X179" s="594"/>
      <c r="Y179" s="595"/>
      <c r="Z179" s="595"/>
      <c r="AA179" s="595"/>
      <c r="AB179" s="595"/>
      <c r="AC179" s="595"/>
    </row>
    <row r="180" spans="1:29" ht="12.75" customHeight="1">
      <c r="A180" s="601"/>
      <c r="B180" s="602"/>
      <c r="C180" s="602"/>
      <c r="D180" s="602"/>
      <c r="E180" s="602"/>
      <c r="F180" s="602"/>
      <c r="G180" s="602"/>
      <c r="H180" s="602"/>
      <c r="I180" s="602"/>
      <c r="J180" s="602"/>
      <c r="K180" s="602"/>
      <c r="L180" s="603"/>
      <c r="M180" s="603"/>
      <c r="N180" s="603"/>
      <c r="O180" s="603"/>
      <c r="P180" s="603"/>
      <c r="Q180" s="595"/>
      <c r="R180" s="595"/>
      <c r="S180" s="595"/>
      <c r="T180" s="595"/>
      <c r="U180" s="595"/>
      <c r="V180" s="595"/>
      <c r="W180" s="594"/>
      <c r="X180" s="594"/>
      <c r="Y180" s="595"/>
      <c r="Z180" s="595"/>
      <c r="AA180" s="595"/>
      <c r="AB180" s="595"/>
      <c r="AC180" s="595"/>
    </row>
    <row r="181" spans="1:29" ht="12.75" customHeight="1">
      <c r="A181" s="601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3"/>
      <c r="M181" s="603"/>
      <c r="N181" s="603"/>
      <c r="O181" s="603"/>
      <c r="P181" s="603"/>
      <c r="Q181" s="595"/>
      <c r="R181" s="595"/>
      <c r="S181" s="595"/>
      <c r="T181" s="595"/>
      <c r="U181" s="595"/>
      <c r="V181" s="595"/>
      <c r="W181" s="594"/>
      <c r="X181" s="594"/>
      <c r="Y181" s="595"/>
      <c r="Z181" s="595"/>
      <c r="AA181" s="595"/>
      <c r="AB181" s="595"/>
      <c r="AC181" s="595"/>
    </row>
    <row r="182" spans="1:29" ht="12.75" customHeight="1">
      <c r="A182" s="601"/>
      <c r="B182" s="602"/>
      <c r="C182" s="602"/>
      <c r="D182" s="602"/>
      <c r="E182" s="602"/>
      <c r="F182" s="602"/>
      <c r="G182" s="602"/>
      <c r="H182" s="602"/>
      <c r="I182" s="602"/>
      <c r="J182" s="602"/>
      <c r="K182" s="602"/>
      <c r="L182" s="603"/>
      <c r="M182" s="603"/>
      <c r="N182" s="603"/>
      <c r="O182" s="603"/>
      <c r="P182" s="603"/>
      <c r="Q182" s="595"/>
      <c r="R182" s="595"/>
      <c r="S182" s="595"/>
      <c r="T182" s="595"/>
      <c r="U182" s="595"/>
      <c r="V182" s="595"/>
      <c r="W182" s="594"/>
      <c r="X182" s="594"/>
      <c r="Y182" s="595"/>
      <c r="Z182" s="595"/>
      <c r="AA182" s="595"/>
      <c r="AB182" s="595"/>
      <c r="AC182" s="595"/>
    </row>
    <row r="183" spans="1:29" ht="12.75" customHeight="1">
      <c r="A183" s="601"/>
      <c r="B183" s="602"/>
      <c r="C183" s="602"/>
      <c r="D183" s="602"/>
      <c r="E183" s="602"/>
      <c r="F183" s="602"/>
      <c r="G183" s="602"/>
      <c r="H183" s="602"/>
      <c r="I183" s="602"/>
      <c r="J183" s="602"/>
      <c r="K183" s="602"/>
      <c r="L183" s="603"/>
      <c r="M183" s="603"/>
      <c r="N183" s="603"/>
      <c r="O183" s="603"/>
      <c r="P183" s="603"/>
      <c r="Q183" s="595"/>
      <c r="R183" s="595"/>
      <c r="S183" s="595"/>
      <c r="T183" s="595"/>
      <c r="U183" s="595"/>
      <c r="V183" s="595"/>
      <c r="W183" s="594"/>
      <c r="X183" s="594"/>
      <c r="Y183" s="595"/>
      <c r="Z183" s="595"/>
      <c r="AA183" s="595"/>
      <c r="AB183" s="595"/>
      <c r="AC183" s="595"/>
    </row>
    <row r="184" spans="1:29" ht="12.75" customHeight="1">
      <c r="A184" s="601"/>
      <c r="B184" s="602"/>
      <c r="C184" s="602"/>
      <c r="D184" s="602"/>
      <c r="E184" s="602"/>
      <c r="F184" s="602"/>
      <c r="G184" s="602"/>
      <c r="H184" s="602"/>
      <c r="I184" s="602"/>
      <c r="J184" s="602"/>
      <c r="K184" s="602"/>
      <c r="L184" s="603"/>
      <c r="M184" s="603"/>
      <c r="N184" s="603"/>
      <c r="O184" s="603"/>
      <c r="P184" s="603"/>
      <c r="Q184" s="595"/>
      <c r="R184" s="595"/>
      <c r="S184" s="595"/>
      <c r="T184" s="595"/>
      <c r="U184" s="595"/>
      <c r="V184" s="595"/>
      <c r="W184" s="594"/>
      <c r="X184" s="594"/>
      <c r="Y184" s="595"/>
      <c r="Z184" s="595"/>
      <c r="AA184" s="595"/>
      <c r="AB184" s="595"/>
      <c r="AC184" s="595"/>
    </row>
    <row r="185" spans="1:29" ht="12.75" customHeight="1">
      <c r="A185" s="601"/>
      <c r="B185" s="602"/>
      <c r="C185" s="602"/>
      <c r="D185" s="602"/>
      <c r="E185" s="602"/>
      <c r="F185" s="602"/>
      <c r="G185" s="602"/>
      <c r="H185" s="602"/>
      <c r="I185" s="602"/>
      <c r="J185" s="602"/>
      <c r="K185" s="602"/>
      <c r="L185" s="603"/>
      <c r="M185" s="603"/>
      <c r="N185" s="603"/>
      <c r="O185" s="603"/>
      <c r="P185" s="603"/>
      <c r="Q185" s="595"/>
      <c r="R185" s="595"/>
      <c r="S185" s="595"/>
      <c r="T185" s="595"/>
      <c r="U185" s="595"/>
      <c r="V185" s="595"/>
      <c r="W185" s="594"/>
      <c r="X185" s="594"/>
      <c r="Y185" s="595"/>
      <c r="Z185" s="595"/>
      <c r="AA185" s="595"/>
      <c r="AB185" s="595"/>
      <c r="AC185" s="595"/>
    </row>
    <row r="186" spans="1:29" ht="12.75" customHeight="1">
      <c r="A186" s="601"/>
      <c r="B186" s="602"/>
      <c r="C186" s="602"/>
      <c r="D186" s="602"/>
      <c r="E186" s="602"/>
      <c r="F186" s="602"/>
      <c r="G186" s="602"/>
      <c r="H186" s="602"/>
      <c r="I186" s="602"/>
      <c r="J186" s="602"/>
      <c r="K186" s="602"/>
      <c r="L186" s="603"/>
      <c r="M186" s="603"/>
      <c r="N186" s="603"/>
      <c r="O186" s="603"/>
      <c r="P186" s="603"/>
      <c r="Q186" s="595"/>
      <c r="R186" s="595"/>
      <c r="S186" s="595"/>
      <c r="T186" s="595"/>
      <c r="U186" s="595"/>
      <c r="V186" s="595"/>
      <c r="W186" s="594"/>
      <c r="X186" s="594"/>
      <c r="Y186" s="595"/>
      <c r="Z186" s="595"/>
      <c r="AA186" s="595"/>
      <c r="AB186" s="595"/>
      <c r="AC186" s="595"/>
    </row>
    <row r="187" spans="1:29" ht="12.75" customHeight="1">
      <c r="A187" s="601"/>
      <c r="B187" s="602"/>
      <c r="C187" s="602"/>
      <c r="D187" s="602"/>
      <c r="E187" s="602"/>
      <c r="F187" s="602"/>
      <c r="G187" s="602"/>
      <c r="H187" s="602"/>
      <c r="I187" s="602"/>
      <c r="J187" s="602"/>
      <c r="K187" s="602"/>
      <c r="L187" s="603"/>
      <c r="M187" s="603"/>
      <c r="N187" s="603"/>
      <c r="O187" s="603"/>
      <c r="P187" s="603"/>
      <c r="Q187" s="595"/>
      <c r="R187" s="595"/>
      <c r="S187" s="595"/>
      <c r="T187" s="595"/>
      <c r="U187" s="595"/>
      <c r="V187" s="595"/>
      <c r="W187" s="594"/>
      <c r="X187" s="594"/>
      <c r="Y187" s="595"/>
      <c r="Z187" s="595"/>
      <c r="AA187" s="595"/>
      <c r="AB187" s="595"/>
      <c r="AC187" s="595"/>
    </row>
    <row r="188" spans="1:29" ht="12.75" customHeight="1">
      <c r="A188" s="601"/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3"/>
      <c r="M188" s="603"/>
      <c r="N188" s="603"/>
      <c r="O188" s="603"/>
      <c r="P188" s="603"/>
      <c r="Q188" s="595"/>
      <c r="R188" s="595"/>
      <c r="S188" s="595"/>
      <c r="T188" s="595"/>
      <c r="U188" s="595"/>
      <c r="V188" s="595"/>
      <c r="W188" s="594"/>
      <c r="X188" s="594"/>
      <c r="Y188" s="595"/>
      <c r="Z188" s="595"/>
      <c r="AA188" s="595"/>
      <c r="AB188" s="595"/>
      <c r="AC188" s="595"/>
    </row>
    <row r="189" spans="1:29" ht="12.75" customHeight="1">
      <c r="A189" s="601"/>
      <c r="B189" s="602"/>
      <c r="C189" s="602"/>
      <c r="D189" s="602"/>
      <c r="E189" s="602"/>
      <c r="F189" s="602"/>
      <c r="G189" s="602"/>
      <c r="H189" s="602"/>
      <c r="I189" s="602"/>
      <c r="J189" s="602"/>
      <c r="K189" s="602"/>
      <c r="L189" s="603"/>
      <c r="M189" s="603"/>
      <c r="N189" s="603"/>
      <c r="O189" s="603"/>
      <c r="P189" s="603"/>
      <c r="Q189" s="595"/>
      <c r="R189" s="595"/>
      <c r="S189" s="595"/>
      <c r="T189" s="595"/>
      <c r="U189" s="595"/>
      <c r="V189" s="595"/>
      <c r="W189" s="594"/>
      <c r="X189" s="594"/>
      <c r="Y189" s="595"/>
      <c r="Z189" s="595"/>
      <c r="AA189" s="595"/>
      <c r="AB189" s="595"/>
      <c r="AC189" s="595"/>
    </row>
    <row r="190" spans="1:29" ht="12.75" customHeight="1">
      <c r="A190" s="601"/>
      <c r="B190" s="602"/>
      <c r="C190" s="602"/>
      <c r="D190" s="602"/>
      <c r="E190" s="602"/>
      <c r="F190" s="602"/>
      <c r="G190" s="602"/>
      <c r="H190" s="602"/>
      <c r="I190" s="602"/>
      <c r="J190" s="602"/>
      <c r="K190" s="602"/>
      <c r="L190" s="603"/>
      <c r="M190" s="603"/>
      <c r="N190" s="603"/>
      <c r="O190" s="603"/>
      <c r="P190" s="603"/>
      <c r="Q190" s="595"/>
      <c r="R190" s="595"/>
      <c r="S190" s="595"/>
      <c r="T190" s="595"/>
      <c r="U190" s="595"/>
      <c r="V190" s="595"/>
      <c r="W190" s="594"/>
      <c r="X190" s="594"/>
      <c r="Y190" s="595"/>
      <c r="Z190" s="595"/>
      <c r="AA190" s="595"/>
      <c r="AB190" s="595"/>
      <c r="AC190" s="595"/>
    </row>
    <row r="191" spans="1:29" ht="12.75" customHeight="1">
      <c r="A191" s="601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3"/>
      <c r="M191" s="603"/>
      <c r="N191" s="603"/>
      <c r="O191" s="603"/>
      <c r="P191" s="603"/>
      <c r="Q191" s="595"/>
      <c r="R191" s="595"/>
      <c r="S191" s="595"/>
      <c r="T191" s="595"/>
      <c r="U191" s="595"/>
      <c r="V191" s="595"/>
      <c r="W191" s="594"/>
      <c r="X191" s="594"/>
      <c r="Y191" s="595"/>
      <c r="Z191" s="595"/>
      <c r="AA191" s="595"/>
      <c r="AB191" s="595"/>
      <c r="AC191" s="595"/>
    </row>
    <row r="192" spans="1:29" ht="12.75" customHeight="1">
      <c r="A192" s="601"/>
      <c r="B192" s="602"/>
      <c r="C192" s="602"/>
      <c r="D192" s="602"/>
      <c r="E192" s="602"/>
      <c r="F192" s="602"/>
      <c r="G192" s="602"/>
      <c r="H192" s="602"/>
      <c r="I192" s="602"/>
      <c r="J192" s="602"/>
      <c r="K192" s="602"/>
      <c r="L192" s="603"/>
      <c r="M192" s="603"/>
      <c r="N192" s="603"/>
      <c r="O192" s="603"/>
      <c r="P192" s="603"/>
      <c r="Q192" s="595"/>
      <c r="R192" s="595"/>
      <c r="S192" s="595"/>
      <c r="T192" s="595"/>
      <c r="U192" s="595"/>
      <c r="V192" s="595"/>
      <c r="W192" s="594"/>
      <c r="X192" s="594"/>
      <c r="Y192" s="595"/>
      <c r="Z192" s="595"/>
      <c r="AA192" s="595"/>
      <c r="AB192" s="595"/>
      <c r="AC192" s="595"/>
    </row>
    <row r="193" spans="1:29" ht="12.75" customHeight="1">
      <c r="A193" s="601"/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3"/>
      <c r="M193" s="603"/>
      <c r="N193" s="603"/>
      <c r="O193" s="603"/>
      <c r="P193" s="603"/>
      <c r="Q193" s="595"/>
      <c r="R193" s="595"/>
      <c r="S193" s="595"/>
      <c r="T193" s="595"/>
      <c r="U193" s="595"/>
      <c r="V193" s="595"/>
      <c r="W193" s="594"/>
      <c r="X193" s="594"/>
      <c r="Y193" s="595"/>
      <c r="Z193" s="595"/>
      <c r="AA193" s="595"/>
      <c r="AB193" s="595"/>
      <c r="AC193" s="595"/>
    </row>
    <row r="194" spans="1:29" ht="12.75" customHeight="1">
      <c r="A194" s="601"/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3"/>
      <c r="M194" s="603"/>
      <c r="N194" s="603"/>
      <c r="O194" s="603"/>
      <c r="P194" s="603"/>
      <c r="Q194" s="595"/>
      <c r="R194" s="595"/>
      <c r="S194" s="595"/>
      <c r="T194" s="595"/>
      <c r="U194" s="595"/>
      <c r="V194" s="595"/>
      <c r="W194" s="594"/>
      <c r="X194" s="594"/>
      <c r="Y194" s="595"/>
      <c r="Z194" s="595"/>
      <c r="AA194" s="595"/>
      <c r="AB194" s="595"/>
      <c r="AC194" s="595"/>
    </row>
    <row r="195" spans="1:29" ht="12.75" customHeight="1">
      <c r="A195" s="601"/>
      <c r="B195" s="602"/>
      <c r="C195" s="602"/>
      <c r="D195" s="602"/>
      <c r="E195" s="602"/>
      <c r="F195" s="602"/>
      <c r="G195" s="602"/>
      <c r="H195" s="602"/>
      <c r="I195" s="602"/>
      <c r="J195" s="602"/>
      <c r="K195" s="602"/>
      <c r="L195" s="603"/>
      <c r="M195" s="603"/>
      <c r="N195" s="603"/>
      <c r="O195" s="603"/>
      <c r="P195" s="603"/>
      <c r="Q195" s="595"/>
      <c r="R195" s="595"/>
      <c r="S195" s="595"/>
      <c r="T195" s="595"/>
      <c r="U195" s="595"/>
      <c r="V195" s="595"/>
      <c r="W195" s="594"/>
      <c r="X195" s="594"/>
      <c r="Y195" s="595"/>
      <c r="Z195" s="595"/>
      <c r="AA195" s="595"/>
      <c r="AB195" s="595"/>
      <c r="AC195" s="595"/>
    </row>
    <row r="196" spans="1:29" ht="12.75" customHeight="1">
      <c r="A196" s="601"/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3"/>
      <c r="M196" s="603"/>
      <c r="N196" s="603"/>
      <c r="O196" s="603"/>
      <c r="P196" s="603"/>
      <c r="Q196" s="595"/>
      <c r="R196" s="595"/>
      <c r="S196" s="595"/>
      <c r="T196" s="595"/>
      <c r="U196" s="595"/>
      <c r="V196" s="595"/>
      <c r="W196" s="594"/>
      <c r="X196" s="594"/>
      <c r="Y196" s="595"/>
      <c r="Z196" s="595"/>
      <c r="AA196" s="595"/>
      <c r="AB196" s="595"/>
      <c r="AC196" s="595"/>
    </row>
    <row r="197" spans="1:29" ht="12.75" customHeight="1">
      <c r="A197" s="601"/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3"/>
      <c r="M197" s="603"/>
      <c r="N197" s="603"/>
      <c r="O197" s="603"/>
      <c r="P197" s="603"/>
      <c r="Q197" s="595"/>
      <c r="R197" s="595"/>
      <c r="S197" s="595"/>
      <c r="T197" s="595"/>
      <c r="U197" s="595"/>
      <c r="V197" s="595"/>
      <c r="W197" s="594"/>
      <c r="X197" s="594"/>
      <c r="Y197" s="595"/>
      <c r="Z197" s="595"/>
      <c r="AA197" s="595"/>
      <c r="AB197" s="595"/>
      <c r="AC197" s="595"/>
    </row>
    <row r="198" spans="1:29" ht="12.75" customHeight="1">
      <c r="A198" s="601"/>
      <c r="B198" s="602"/>
      <c r="C198" s="602"/>
      <c r="D198" s="602"/>
      <c r="E198" s="602"/>
      <c r="F198" s="602"/>
      <c r="G198" s="602"/>
      <c r="H198" s="602"/>
      <c r="I198" s="602"/>
      <c r="J198" s="602"/>
      <c r="K198" s="602"/>
      <c r="L198" s="603"/>
      <c r="M198" s="603"/>
      <c r="N198" s="603"/>
      <c r="O198" s="603"/>
      <c r="P198" s="603"/>
      <c r="Q198" s="595"/>
      <c r="R198" s="595"/>
      <c r="S198" s="595"/>
      <c r="T198" s="595"/>
      <c r="U198" s="595"/>
      <c r="V198" s="595"/>
      <c r="W198" s="594"/>
      <c r="X198" s="594"/>
      <c r="Y198" s="595"/>
      <c r="Z198" s="595"/>
      <c r="AA198" s="595"/>
      <c r="AB198" s="595"/>
      <c r="AC198" s="595"/>
    </row>
    <row r="199" spans="1:29" ht="12.75" customHeight="1">
      <c r="A199" s="601"/>
      <c r="B199" s="602"/>
      <c r="C199" s="602"/>
      <c r="D199" s="602"/>
      <c r="E199" s="602"/>
      <c r="F199" s="602"/>
      <c r="G199" s="602"/>
      <c r="H199" s="602"/>
      <c r="I199" s="602"/>
      <c r="J199" s="602"/>
      <c r="K199" s="602"/>
      <c r="L199" s="603"/>
      <c r="M199" s="603"/>
      <c r="N199" s="603"/>
      <c r="O199" s="603"/>
      <c r="P199" s="603"/>
      <c r="Q199" s="595"/>
      <c r="R199" s="595"/>
      <c r="S199" s="595"/>
      <c r="T199" s="595"/>
      <c r="U199" s="595"/>
      <c r="V199" s="595"/>
      <c r="W199" s="594"/>
      <c r="X199" s="594"/>
      <c r="Y199" s="595"/>
      <c r="Z199" s="595"/>
      <c r="AA199" s="595"/>
      <c r="AB199" s="595"/>
      <c r="AC199" s="595"/>
    </row>
    <row r="200" spans="1:29" ht="12.75" customHeight="1">
      <c r="A200" s="601"/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3"/>
      <c r="M200" s="603"/>
      <c r="N200" s="603"/>
      <c r="O200" s="603"/>
      <c r="P200" s="603"/>
      <c r="Q200" s="595"/>
      <c r="R200" s="595"/>
      <c r="S200" s="595"/>
      <c r="T200" s="595"/>
      <c r="U200" s="595"/>
      <c r="V200" s="595"/>
      <c r="W200" s="594"/>
      <c r="X200" s="594"/>
      <c r="Y200" s="595"/>
      <c r="Z200" s="595"/>
      <c r="AA200" s="595"/>
      <c r="AB200" s="595"/>
      <c r="AC200" s="595"/>
    </row>
    <row r="201" spans="1:29" ht="12.75" customHeight="1">
      <c r="A201" s="601"/>
      <c r="B201" s="602"/>
      <c r="C201" s="602"/>
      <c r="D201" s="602"/>
      <c r="E201" s="602"/>
      <c r="F201" s="602"/>
      <c r="G201" s="602"/>
      <c r="H201" s="602"/>
      <c r="I201" s="602"/>
      <c r="J201" s="602"/>
      <c r="K201" s="602"/>
      <c r="L201" s="603"/>
      <c r="M201" s="603"/>
      <c r="N201" s="603"/>
      <c r="O201" s="603"/>
      <c r="P201" s="603"/>
      <c r="Q201" s="595"/>
      <c r="R201" s="595"/>
      <c r="S201" s="595"/>
      <c r="T201" s="595"/>
      <c r="U201" s="595"/>
      <c r="V201" s="595"/>
      <c r="W201" s="594"/>
      <c r="X201" s="594"/>
      <c r="Y201" s="595"/>
      <c r="Z201" s="595"/>
      <c r="AA201" s="595"/>
      <c r="AB201" s="595"/>
      <c r="AC201" s="595"/>
    </row>
    <row r="202" spans="1:29" ht="12.75" customHeight="1">
      <c r="A202" s="601"/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3"/>
      <c r="M202" s="603"/>
      <c r="N202" s="603"/>
      <c r="O202" s="603"/>
      <c r="P202" s="603"/>
      <c r="Q202" s="595"/>
      <c r="R202" s="595"/>
      <c r="S202" s="595"/>
      <c r="T202" s="595"/>
      <c r="U202" s="595"/>
      <c r="V202" s="595"/>
      <c r="W202" s="594"/>
      <c r="X202" s="594"/>
      <c r="Y202" s="595"/>
      <c r="Z202" s="595"/>
      <c r="AA202" s="595"/>
      <c r="AB202" s="595"/>
      <c r="AC202" s="595"/>
    </row>
    <row r="203" spans="1:29" ht="12.75" customHeight="1">
      <c r="A203" s="601"/>
      <c r="B203" s="602"/>
      <c r="C203" s="602"/>
      <c r="D203" s="602"/>
      <c r="E203" s="602"/>
      <c r="F203" s="602"/>
      <c r="G203" s="602"/>
      <c r="H203" s="602"/>
      <c r="I203" s="602"/>
      <c r="J203" s="602"/>
      <c r="K203" s="602"/>
      <c r="L203" s="603"/>
      <c r="M203" s="603"/>
      <c r="N203" s="603"/>
      <c r="O203" s="603"/>
      <c r="P203" s="603"/>
      <c r="Q203" s="595"/>
      <c r="R203" s="595"/>
      <c r="S203" s="595"/>
      <c r="T203" s="595"/>
      <c r="U203" s="595"/>
      <c r="V203" s="595"/>
      <c r="W203" s="594"/>
      <c r="X203" s="594"/>
      <c r="Y203" s="595"/>
      <c r="Z203" s="595"/>
      <c r="AA203" s="595"/>
      <c r="AB203" s="595"/>
      <c r="AC203" s="595"/>
    </row>
    <row r="204" spans="1:29" ht="12.75" customHeight="1">
      <c r="A204" s="601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3"/>
      <c r="M204" s="603"/>
      <c r="N204" s="603"/>
      <c r="O204" s="603"/>
      <c r="P204" s="603"/>
      <c r="Q204" s="595"/>
      <c r="R204" s="595"/>
      <c r="S204" s="595"/>
      <c r="T204" s="595"/>
      <c r="U204" s="595"/>
      <c r="V204" s="595"/>
      <c r="W204" s="594"/>
      <c r="X204" s="594"/>
      <c r="Y204" s="595"/>
      <c r="Z204" s="595"/>
      <c r="AA204" s="595"/>
      <c r="AB204" s="595"/>
      <c r="AC204" s="595"/>
    </row>
    <row r="205" spans="1:29" ht="12.75" customHeight="1">
      <c r="A205" s="601"/>
      <c r="B205" s="602"/>
      <c r="C205" s="602"/>
      <c r="D205" s="602"/>
      <c r="E205" s="602"/>
      <c r="F205" s="602"/>
      <c r="G205" s="602"/>
      <c r="H205" s="602"/>
      <c r="I205" s="602"/>
      <c r="J205" s="602"/>
      <c r="K205" s="602"/>
      <c r="L205" s="603"/>
      <c r="M205" s="603"/>
      <c r="N205" s="603"/>
      <c r="O205" s="603"/>
      <c r="P205" s="603"/>
      <c r="Q205" s="595"/>
      <c r="R205" s="595"/>
      <c r="S205" s="595"/>
      <c r="T205" s="595"/>
      <c r="U205" s="595"/>
      <c r="V205" s="595"/>
      <c r="W205" s="594"/>
      <c r="X205" s="594"/>
      <c r="Y205" s="595"/>
      <c r="Z205" s="595"/>
      <c r="AA205" s="595"/>
      <c r="AB205" s="595"/>
      <c r="AC205" s="595"/>
    </row>
    <row r="206" spans="1:29" ht="12.75" customHeight="1">
      <c r="A206" s="601"/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3"/>
      <c r="M206" s="603"/>
      <c r="N206" s="603"/>
      <c r="O206" s="603"/>
      <c r="P206" s="603"/>
      <c r="Q206" s="595"/>
      <c r="R206" s="595"/>
      <c r="S206" s="595"/>
      <c r="T206" s="595"/>
      <c r="U206" s="595"/>
      <c r="V206" s="595"/>
      <c r="W206" s="594"/>
      <c r="X206" s="594"/>
      <c r="Y206" s="595"/>
      <c r="Z206" s="595"/>
      <c r="AA206" s="595"/>
      <c r="AB206" s="595"/>
      <c r="AC206" s="595"/>
    </row>
    <row r="207" spans="1:29" ht="12.75" customHeight="1">
      <c r="A207" s="601"/>
      <c r="B207" s="602"/>
      <c r="C207" s="602"/>
      <c r="D207" s="602"/>
      <c r="E207" s="602"/>
      <c r="F207" s="602"/>
      <c r="G207" s="602"/>
      <c r="H207" s="602"/>
      <c r="I207" s="602"/>
      <c r="J207" s="602"/>
      <c r="K207" s="602"/>
      <c r="L207" s="603"/>
      <c r="M207" s="603"/>
      <c r="N207" s="603"/>
      <c r="O207" s="603"/>
      <c r="P207" s="603"/>
      <c r="Q207" s="595"/>
      <c r="R207" s="595"/>
      <c r="S207" s="595"/>
      <c r="T207" s="595"/>
      <c r="U207" s="595"/>
      <c r="V207" s="595"/>
      <c r="W207" s="594"/>
      <c r="X207" s="594"/>
      <c r="Y207" s="595"/>
      <c r="Z207" s="595"/>
      <c r="AA207" s="595"/>
      <c r="AB207" s="595"/>
      <c r="AC207" s="595"/>
    </row>
    <row r="208" spans="1:29" ht="12.75" customHeight="1">
      <c r="A208" s="601"/>
      <c r="B208" s="602"/>
      <c r="C208" s="602"/>
      <c r="D208" s="602"/>
      <c r="E208" s="602"/>
      <c r="F208" s="602"/>
      <c r="G208" s="602"/>
      <c r="H208" s="602"/>
      <c r="I208" s="602"/>
      <c r="J208" s="602"/>
      <c r="K208" s="602"/>
      <c r="L208" s="603"/>
      <c r="M208" s="603"/>
      <c r="N208" s="603"/>
      <c r="O208" s="603"/>
      <c r="P208" s="603"/>
      <c r="Q208" s="595"/>
      <c r="R208" s="595"/>
      <c r="S208" s="595"/>
      <c r="T208" s="595"/>
      <c r="U208" s="595"/>
      <c r="V208" s="595"/>
      <c r="W208" s="594"/>
      <c r="X208" s="594"/>
      <c r="Y208" s="595"/>
      <c r="Z208" s="595"/>
      <c r="AA208" s="595"/>
      <c r="AB208" s="595"/>
      <c r="AC208" s="595"/>
    </row>
    <row r="209" spans="1:29" ht="12.75" customHeight="1">
      <c r="A209" s="601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3"/>
      <c r="M209" s="603"/>
      <c r="N209" s="603"/>
      <c r="O209" s="603"/>
      <c r="P209" s="603"/>
      <c r="Q209" s="595"/>
      <c r="R209" s="595"/>
      <c r="S209" s="595"/>
      <c r="T209" s="595"/>
      <c r="U209" s="595"/>
      <c r="V209" s="595"/>
      <c r="W209" s="594"/>
      <c r="X209" s="594"/>
      <c r="Y209" s="595"/>
      <c r="Z209" s="595"/>
      <c r="AA209" s="595"/>
      <c r="AB209" s="595"/>
      <c r="AC209" s="595"/>
    </row>
    <row r="210" spans="1:29" ht="12.75" customHeight="1">
      <c r="A210" s="601"/>
      <c r="B210" s="602"/>
      <c r="C210" s="602"/>
      <c r="D210" s="602"/>
      <c r="E210" s="602"/>
      <c r="F210" s="602"/>
      <c r="G210" s="602"/>
      <c r="H210" s="602"/>
      <c r="I210" s="602"/>
      <c r="J210" s="602"/>
      <c r="K210" s="602"/>
      <c r="L210" s="603"/>
      <c r="M210" s="603"/>
      <c r="N210" s="603"/>
      <c r="O210" s="603"/>
      <c r="P210" s="603"/>
      <c r="Q210" s="595"/>
      <c r="R210" s="595"/>
      <c r="S210" s="595"/>
      <c r="T210" s="595"/>
      <c r="U210" s="595"/>
      <c r="V210" s="595"/>
      <c r="W210" s="594"/>
      <c r="X210" s="594"/>
      <c r="Y210" s="595"/>
      <c r="Z210" s="595"/>
      <c r="AA210" s="595"/>
      <c r="AB210" s="595"/>
      <c r="AC210" s="595"/>
    </row>
    <row r="211" spans="1:29" ht="12.75" customHeight="1">
      <c r="A211" s="601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3"/>
      <c r="M211" s="603"/>
      <c r="N211" s="603"/>
      <c r="O211" s="603"/>
      <c r="P211" s="603"/>
      <c r="Q211" s="595"/>
      <c r="R211" s="595"/>
      <c r="S211" s="595"/>
      <c r="T211" s="595"/>
      <c r="U211" s="595"/>
      <c r="V211" s="595"/>
      <c r="W211" s="594"/>
      <c r="X211" s="594"/>
      <c r="Y211" s="595"/>
      <c r="Z211" s="595"/>
      <c r="AA211" s="595"/>
      <c r="AB211" s="595"/>
      <c r="AC211" s="595"/>
    </row>
    <row r="212" spans="1:29" ht="12.75" customHeight="1">
      <c r="A212" s="601"/>
      <c r="B212" s="602"/>
      <c r="C212" s="602"/>
      <c r="D212" s="602"/>
      <c r="E212" s="602"/>
      <c r="F212" s="602"/>
      <c r="G212" s="602"/>
      <c r="H212" s="602"/>
      <c r="I212" s="602"/>
      <c r="J212" s="602"/>
      <c r="K212" s="602"/>
      <c r="L212" s="603"/>
      <c r="M212" s="603"/>
      <c r="N212" s="603"/>
      <c r="O212" s="603"/>
      <c r="P212" s="603"/>
      <c r="Q212" s="595"/>
      <c r="R212" s="595"/>
      <c r="S212" s="595"/>
      <c r="T212" s="595"/>
      <c r="U212" s="595"/>
      <c r="V212" s="595"/>
      <c r="W212" s="594"/>
      <c r="X212" s="594"/>
      <c r="Y212" s="595"/>
      <c r="Z212" s="595"/>
      <c r="AA212" s="595"/>
      <c r="AB212" s="595"/>
      <c r="AC212" s="595"/>
    </row>
    <row r="213" spans="1:29" ht="12.75" customHeight="1">
      <c r="A213" s="601"/>
      <c r="B213" s="602"/>
      <c r="C213" s="602"/>
      <c r="D213" s="602"/>
      <c r="E213" s="602"/>
      <c r="F213" s="602"/>
      <c r="G213" s="602"/>
      <c r="H213" s="602"/>
      <c r="I213" s="602"/>
      <c r="J213" s="602"/>
      <c r="K213" s="602"/>
      <c r="L213" s="603"/>
      <c r="M213" s="603"/>
      <c r="N213" s="603"/>
      <c r="O213" s="603"/>
      <c r="P213" s="603"/>
      <c r="Q213" s="595"/>
      <c r="R213" s="595"/>
      <c r="S213" s="595"/>
      <c r="T213" s="595"/>
      <c r="U213" s="595"/>
      <c r="V213" s="595"/>
      <c r="W213" s="594"/>
      <c r="X213" s="594"/>
      <c r="Y213" s="595"/>
      <c r="Z213" s="595"/>
      <c r="AA213" s="595"/>
      <c r="AB213" s="595"/>
      <c r="AC213" s="595"/>
    </row>
    <row r="214" spans="1:29" ht="12.75" customHeight="1">
      <c r="A214" s="601"/>
      <c r="B214" s="602"/>
      <c r="C214" s="602"/>
      <c r="D214" s="602"/>
      <c r="E214" s="602"/>
      <c r="F214" s="602"/>
      <c r="G214" s="602"/>
      <c r="H214" s="602"/>
      <c r="I214" s="602"/>
      <c r="J214" s="602"/>
      <c r="K214" s="602"/>
      <c r="L214" s="603"/>
      <c r="M214" s="603"/>
      <c r="N214" s="603"/>
      <c r="O214" s="603"/>
      <c r="P214" s="603"/>
      <c r="Q214" s="595"/>
      <c r="R214" s="595"/>
      <c r="S214" s="595"/>
      <c r="T214" s="595"/>
      <c r="U214" s="595"/>
      <c r="V214" s="595"/>
      <c r="W214" s="594"/>
      <c r="X214" s="594"/>
      <c r="Y214" s="595"/>
      <c r="Z214" s="595"/>
      <c r="AA214" s="595"/>
      <c r="AB214" s="595"/>
      <c r="AC214" s="595"/>
    </row>
    <row r="215" spans="1:29" ht="12.75" customHeight="1">
      <c r="A215" s="601"/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3"/>
      <c r="M215" s="603"/>
      <c r="N215" s="603"/>
      <c r="O215" s="603"/>
      <c r="P215" s="603"/>
      <c r="Q215" s="595"/>
      <c r="R215" s="595"/>
      <c r="S215" s="595"/>
      <c r="T215" s="595"/>
      <c r="U215" s="595"/>
      <c r="V215" s="595"/>
      <c r="W215" s="594"/>
      <c r="X215" s="594"/>
      <c r="Y215" s="595"/>
      <c r="Z215" s="595"/>
      <c r="AA215" s="595"/>
      <c r="AB215" s="595"/>
      <c r="AC215" s="595"/>
    </row>
    <row r="216" spans="1:29" ht="12.75" customHeight="1">
      <c r="A216" s="601"/>
      <c r="B216" s="602"/>
      <c r="C216" s="602"/>
      <c r="D216" s="602"/>
      <c r="E216" s="602"/>
      <c r="F216" s="602"/>
      <c r="G216" s="602"/>
      <c r="H216" s="602"/>
      <c r="I216" s="602"/>
      <c r="J216" s="602"/>
      <c r="K216" s="602"/>
      <c r="L216" s="603"/>
      <c r="M216" s="603"/>
      <c r="N216" s="603"/>
      <c r="O216" s="603"/>
      <c r="P216" s="603"/>
      <c r="Q216" s="595"/>
      <c r="R216" s="595"/>
      <c r="S216" s="595"/>
      <c r="T216" s="595"/>
      <c r="U216" s="595"/>
      <c r="V216" s="595"/>
      <c r="W216" s="594"/>
      <c r="X216" s="594"/>
      <c r="Y216" s="595"/>
      <c r="Z216" s="595"/>
      <c r="AA216" s="595"/>
      <c r="AB216" s="595"/>
      <c r="AC216" s="595"/>
    </row>
    <row r="217" spans="1:29" ht="12.75" customHeight="1">
      <c r="A217" s="601"/>
      <c r="B217" s="602"/>
      <c r="C217" s="602"/>
      <c r="D217" s="602"/>
      <c r="E217" s="602"/>
      <c r="F217" s="602"/>
      <c r="G217" s="602"/>
      <c r="H217" s="602"/>
      <c r="I217" s="602"/>
      <c r="J217" s="602"/>
      <c r="K217" s="602"/>
      <c r="L217" s="603"/>
      <c r="M217" s="603"/>
      <c r="N217" s="603"/>
      <c r="O217" s="603"/>
      <c r="P217" s="603"/>
      <c r="Q217" s="595"/>
      <c r="R217" s="595"/>
      <c r="S217" s="595"/>
      <c r="T217" s="595"/>
      <c r="U217" s="595"/>
      <c r="V217" s="595"/>
      <c r="W217" s="594"/>
      <c r="X217" s="594"/>
      <c r="Y217" s="595"/>
      <c r="Z217" s="595"/>
      <c r="AA217" s="595"/>
      <c r="AB217" s="595"/>
      <c r="AC217" s="595"/>
    </row>
    <row r="218" spans="1:29" ht="12.75" customHeight="1">
      <c r="A218" s="601"/>
      <c r="B218" s="602"/>
      <c r="C218" s="602"/>
      <c r="D218" s="602"/>
      <c r="E218" s="602"/>
      <c r="F218" s="602"/>
      <c r="G218" s="602"/>
      <c r="H218" s="602"/>
      <c r="I218" s="602"/>
      <c r="J218" s="602"/>
      <c r="K218" s="602"/>
      <c r="L218" s="603"/>
      <c r="M218" s="603"/>
      <c r="N218" s="603"/>
      <c r="O218" s="603"/>
      <c r="P218" s="603"/>
      <c r="Q218" s="595"/>
      <c r="R218" s="595"/>
      <c r="S218" s="595"/>
      <c r="T218" s="595"/>
      <c r="U218" s="595"/>
      <c r="V218" s="595"/>
      <c r="W218" s="594"/>
      <c r="X218" s="594"/>
      <c r="Y218" s="595"/>
      <c r="Z218" s="595"/>
      <c r="AA218" s="595"/>
      <c r="AB218" s="595"/>
      <c r="AC218" s="595"/>
    </row>
    <row r="219" spans="1:29" ht="12.75" customHeight="1">
      <c r="A219" s="601"/>
      <c r="B219" s="602"/>
      <c r="C219" s="602"/>
      <c r="D219" s="602"/>
      <c r="E219" s="602"/>
      <c r="F219" s="602"/>
      <c r="G219" s="602"/>
      <c r="H219" s="602"/>
      <c r="I219" s="602"/>
      <c r="J219" s="602"/>
      <c r="K219" s="602"/>
      <c r="L219" s="603"/>
      <c r="M219" s="603"/>
      <c r="N219" s="603"/>
      <c r="O219" s="603"/>
      <c r="P219" s="603"/>
      <c r="Q219" s="595"/>
      <c r="R219" s="595"/>
      <c r="S219" s="595"/>
      <c r="T219" s="595"/>
      <c r="U219" s="595"/>
      <c r="V219" s="595"/>
      <c r="W219" s="594"/>
      <c r="X219" s="594"/>
      <c r="Y219" s="595"/>
      <c r="Z219" s="595"/>
      <c r="AA219" s="595"/>
      <c r="AB219" s="595"/>
      <c r="AC219" s="595"/>
    </row>
    <row r="220" spans="1:29" ht="12.75" customHeight="1">
      <c r="A220" s="601"/>
      <c r="B220" s="602"/>
      <c r="C220" s="602"/>
      <c r="D220" s="602"/>
      <c r="E220" s="602"/>
      <c r="F220" s="602"/>
      <c r="G220" s="602"/>
      <c r="H220" s="602"/>
      <c r="I220" s="602"/>
      <c r="J220" s="602"/>
      <c r="K220" s="602"/>
      <c r="L220" s="603"/>
      <c r="M220" s="603"/>
      <c r="N220" s="603"/>
      <c r="O220" s="603"/>
      <c r="P220" s="603"/>
      <c r="Q220" s="595"/>
      <c r="R220" s="595"/>
      <c r="S220" s="595"/>
      <c r="T220" s="595"/>
      <c r="U220" s="595"/>
      <c r="V220" s="595"/>
      <c r="W220" s="594"/>
      <c r="X220" s="594"/>
      <c r="Y220" s="595"/>
      <c r="Z220" s="595"/>
      <c r="AA220" s="595"/>
      <c r="AB220" s="595"/>
      <c r="AC220" s="595"/>
    </row>
    <row r="221" spans="1:29" ht="12.75" customHeight="1">
      <c r="A221" s="601"/>
      <c r="B221" s="602"/>
      <c r="C221" s="602"/>
      <c r="D221" s="602"/>
      <c r="E221" s="602"/>
      <c r="F221" s="602"/>
      <c r="G221" s="602"/>
      <c r="H221" s="602"/>
      <c r="I221" s="602"/>
      <c r="J221" s="602"/>
      <c r="K221" s="602"/>
      <c r="L221" s="603"/>
      <c r="M221" s="603"/>
      <c r="N221" s="603"/>
      <c r="O221" s="603"/>
      <c r="P221" s="603"/>
      <c r="Q221" s="595"/>
      <c r="R221" s="595"/>
      <c r="S221" s="595"/>
      <c r="T221" s="595"/>
      <c r="U221" s="595"/>
      <c r="V221" s="595"/>
      <c r="W221" s="594"/>
      <c r="X221" s="594"/>
      <c r="Y221" s="595"/>
      <c r="Z221" s="595"/>
      <c r="AA221" s="595"/>
      <c r="AB221" s="595"/>
      <c r="AC221" s="595"/>
    </row>
    <row r="222" spans="1:29" ht="12.75" customHeight="1">
      <c r="A222" s="601"/>
      <c r="B222" s="602"/>
      <c r="C222" s="602"/>
      <c r="D222" s="602"/>
      <c r="E222" s="602"/>
      <c r="F222" s="602"/>
      <c r="G222" s="602"/>
      <c r="H222" s="602"/>
      <c r="I222" s="602"/>
      <c r="J222" s="602"/>
      <c r="K222" s="602"/>
      <c r="L222" s="603"/>
      <c r="M222" s="603"/>
      <c r="N222" s="603"/>
      <c r="O222" s="603"/>
      <c r="P222" s="603"/>
      <c r="Q222" s="595"/>
      <c r="R222" s="595"/>
      <c r="S222" s="595"/>
      <c r="T222" s="595"/>
      <c r="U222" s="595"/>
      <c r="V222" s="595"/>
      <c r="W222" s="594"/>
      <c r="X222" s="594"/>
      <c r="Y222" s="595"/>
      <c r="Z222" s="595"/>
      <c r="AA222" s="595"/>
      <c r="AB222" s="595"/>
      <c r="AC222" s="595"/>
    </row>
    <row r="223" spans="1:29" ht="12.75" customHeight="1">
      <c r="A223" s="601"/>
      <c r="B223" s="602"/>
      <c r="C223" s="602"/>
      <c r="D223" s="602"/>
      <c r="E223" s="602"/>
      <c r="F223" s="602"/>
      <c r="G223" s="602"/>
      <c r="H223" s="602"/>
      <c r="I223" s="602"/>
      <c r="J223" s="602"/>
      <c r="K223" s="602"/>
      <c r="L223" s="603"/>
      <c r="M223" s="603"/>
      <c r="N223" s="603"/>
      <c r="O223" s="603"/>
      <c r="P223" s="603"/>
      <c r="Q223" s="595"/>
      <c r="R223" s="595"/>
      <c r="S223" s="595"/>
      <c r="T223" s="595"/>
      <c r="U223" s="595"/>
      <c r="V223" s="595"/>
      <c r="W223" s="594"/>
      <c r="X223" s="594"/>
      <c r="Y223" s="595"/>
      <c r="Z223" s="595"/>
      <c r="AA223" s="595"/>
      <c r="AB223" s="595"/>
      <c r="AC223" s="595"/>
    </row>
    <row r="224" spans="1:29" ht="12.75" customHeight="1">
      <c r="A224" s="601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3"/>
      <c r="M224" s="603"/>
      <c r="N224" s="603"/>
      <c r="O224" s="603"/>
      <c r="P224" s="603"/>
      <c r="Q224" s="595"/>
      <c r="R224" s="595"/>
      <c r="S224" s="595"/>
      <c r="T224" s="595"/>
      <c r="U224" s="595"/>
      <c r="V224" s="595"/>
      <c r="W224" s="594"/>
      <c r="X224" s="594"/>
      <c r="Y224" s="595"/>
      <c r="Z224" s="595"/>
      <c r="AA224" s="595"/>
      <c r="AB224" s="595"/>
      <c r="AC224" s="595"/>
    </row>
    <row r="225" spans="1:29" ht="12.75" customHeight="1">
      <c r="A225" s="601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3"/>
      <c r="M225" s="603"/>
      <c r="N225" s="603"/>
      <c r="O225" s="603"/>
      <c r="P225" s="603"/>
      <c r="Q225" s="595"/>
      <c r="R225" s="595"/>
      <c r="S225" s="595"/>
      <c r="T225" s="595"/>
      <c r="U225" s="595"/>
      <c r="V225" s="595"/>
      <c r="W225" s="594"/>
      <c r="X225" s="594"/>
      <c r="Y225" s="595"/>
      <c r="Z225" s="595"/>
      <c r="AA225" s="595"/>
      <c r="AB225" s="595"/>
      <c r="AC225" s="595"/>
    </row>
    <row r="226" spans="1:29" ht="12.75" customHeight="1">
      <c r="A226" s="601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3"/>
      <c r="M226" s="603"/>
      <c r="N226" s="603"/>
      <c r="O226" s="603"/>
      <c r="P226" s="603"/>
      <c r="Q226" s="595"/>
      <c r="R226" s="595"/>
      <c r="S226" s="595"/>
      <c r="T226" s="595"/>
      <c r="U226" s="595"/>
      <c r="V226" s="595"/>
      <c r="W226" s="594"/>
      <c r="X226" s="594"/>
      <c r="Y226" s="595"/>
      <c r="Z226" s="595"/>
      <c r="AA226" s="595"/>
      <c r="AB226" s="595"/>
      <c r="AC226" s="595"/>
    </row>
    <row r="227" spans="1:29" ht="12.75" customHeight="1">
      <c r="A227" s="601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3"/>
      <c r="M227" s="603"/>
      <c r="N227" s="603"/>
      <c r="O227" s="603"/>
      <c r="P227" s="603"/>
      <c r="Q227" s="595"/>
      <c r="R227" s="595"/>
      <c r="S227" s="595"/>
      <c r="T227" s="595"/>
      <c r="U227" s="595"/>
      <c r="V227" s="595"/>
      <c r="W227" s="594"/>
      <c r="X227" s="594"/>
      <c r="Y227" s="595"/>
      <c r="Z227" s="595"/>
      <c r="AA227" s="595"/>
      <c r="AB227" s="595"/>
      <c r="AC227" s="595"/>
    </row>
    <row r="228" spans="1:29" ht="12.75" customHeight="1">
      <c r="A228" s="601"/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  <c r="L228" s="603"/>
      <c r="M228" s="603"/>
      <c r="N228" s="603"/>
      <c r="O228" s="603"/>
      <c r="P228" s="603"/>
      <c r="Q228" s="595"/>
      <c r="R228" s="595"/>
      <c r="S228" s="595"/>
      <c r="T228" s="595"/>
      <c r="U228" s="595"/>
      <c r="V228" s="595"/>
      <c r="W228" s="594"/>
      <c r="X228" s="594"/>
      <c r="Y228" s="595"/>
      <c r="Z228" s="595"/>
      <c r="AA228" s="595"/>
      <c r="AB228" s="595"/>
      <c r="AC228" s="595"/>
    </row>
    <row r="229" spans="1:29" ht="12.75" customHeight="1">
      <c r="A229" s="601"/>
      <c r="B229" s="602"/>
      <c r="C229" s="602"/>
      <c r="D229" s="602"/>
      <c r="E229" s="602"/>
      <c r="F229" s="602"/>
      <c r="G229" s="602"/>
      <c r="H229" s="602"/>
      <c r="I229" s="602"/>
      <c r="J229" s="602"/>
      <c r="K229" s="602"/>
      <c r="L229" s="603"/>
      <c r="M229" s="603"/>
      <c r="N229" s="603"/>
      <c r="O229" s="603"/>
      <c r="P229" s="603"/>
      <c r="Q229" s="595"/>
      <c r="R229" s="595"/>
      <c r="S229" s="595"/>
      <c r="T229" s="595"/>
      <c r="U229" s="595"/>
      <c r="V229" s="595"/>
      <c r="W229" s="594"/>
      <c r="X229" s="594"/>
      <c r="Y229" s="595"/>
      <c r="Z229" s="595"/>
      <c r="AA229" s="595"/>
      <c r="AB229" s="595"/>
      <c r="AC229" s="595"/>
    </row>
    <row r="230" spans="1:29" ht="12.75" customHeight="1">
      <c r="A230" s="601"/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3"/>
      <c r="M230" s="603"/>
      <c r="N230" s="603"/>
      <c r="O230" s="603"/>
      <c r="P230" s="603"/>
      <c r="Q230" s="595"/>
      <c r="R230" s="595"/>
      <c r="S230" s="595"/>
      <c r="T230" s="595"/>
      <c r="U230" s="595"/>
      <c r="V230" s="595"/>
      <c r="W230" s="594"/>
      <c r="X230" s="594"/>
      <c r="Y230" s="595"/>
      <c r="Z230" s="595"/>
      <c r="AA230" s="595"/>
      <c r="AB230" s="595"/>
      <c r="AC230" s="595"/>
    </row>
    <row r="231" spans="1:29" ht="12.75" customHeight="1">
      <c r="A231" s="601"/>
      <c r="B231" s="602"/>
      <c r="C231" s="602"/>
      <c r="D231" s="602"/>
      <c r="E231" s="602"/>
      <c r="F231" s="602"/>
      <c r="G231" s="602"/>
      <c r="H231" s="602"/>
      <c r="I231" s="602"/>
      <c r="J231" s="602"/>
      <c r="K231" s="602"/>
      <c r="L231" s="603"/>
      <c r="M231" s="603"/>
      <c r="N231" s="603"/>
      <c r="O231" s="603"/>
      <c r="P231" s="603"/>
      <c r="Q231" s="595"/>
      <c r="R231" s="595"/>
      <c r="S231" s="595"/>
      <c r="T231" s="595"/>
      <c r="U231" s="595"/>
      <c r="V231" s="595"/>
      <c r="W231" s="594"/>
      <c r="X231" s="594"/>
      <c r="Y231" s="595"/>
      <c r="Z231" s="595"/>
      <c r="AA231" s="595"/>
      <c r="AB231" s="595"/>
      <c r="AC231" s="595"/>
    </row>
    <row r="232" spans="1:29" ht="12.75" customHeight="1">
      <c r="A232" s="601"/>
      <c r="B232" s="602"/>
      <c r="C232" s="602"/>
      <c r="D232" s="602"/>
      <c r="E232" s="602"/>
      <c r="F232" s="602"/>
      <c r="G232" s="602"/>
      <c r="H232" s="602"/>
      <c r="I232" s="602"/>
      <c r="J232" s="602"/>
      <c r="K232" s="602"/>
      <c r="L232" s="603"/>
      <c r="M232" s="603"/>
      <c r="N232" s="603"/>
      <c r="O232" s="603"/>
      <c r="P232" s="603"/>
      <c r="Q232" s="595"/>
      <c r="R232" s="595"/>
      <c r="S232" s="595"/>
      <c r="T232" s="595"/>
      <c r="U232" s="595"/>
      <c r="V232" s="595"/>
      <c r="W232" s="594"/>
      <c r="X232" s="594"/>
      <c r="Y232" s="595"/>
      <c r="Z232" s="595"/>
      <c r="AA232" s="595"/>
      <c r="AB232" s="595"/>
      <c r="AC232" s="595"/>
    </row>
    <row r="233" spans="1:29" ht="12.75" customHeight="1">
      <c r="A233" s="601"/>
      <c r="B233" s="602"/>
      <c r="C233" s="602"/>
      <c r="D233" s="602"/>
      <c r="E233" s="602"/>
      <c r="F233" s="602"/>
      <c r="G233" s="602"/>
      <c r="H233" s="602"/>
      <c r="I233" s="602"/>
      <c r="J233" s="602"/>
      <c r="K233" s="602"/>
      <c r="L233" s="603"/>
      <c r="M233" s="603"/>
      <c r="N233" s="603"/>
      <c r="O233" s="603"/>
      <c r="P233" s="603"/>
      <c r="Q233" s="595"/>
      <c r="R233" s="595"/>
      <c r="S233" s="595"/>
      <c r="T233" s="595"/>
      <c r="U233" s="595"/>
      <c r="V233" s="595"/>
      <c r="W233" s="594"/>
      <c r="X233" s="594"/>
      <c r="Y233" s="595"/>
      <c r="Z233" s="595"/>
      <c r="AA233" s="595"/>
      <c r="AB233" s="595"/>
      <c r="AC233" s="595"/>
    </row>
    <row r="234" spans="1:29" ht="12.75" customHeight="1">
      <c r="A234" s="601"/>
      <c r="B234" s="602"/>
      <c r="C234" s="602"/>
      <c r="D234" s="602"/>
      <c r="E234" s="602"/>
      <c r="F234" s="602"/>
      <c r="G234" s="602"/>
      <c r="H234" s="602"/>
      <c r="I234" s="602"/>
      <c r="J234" s="602"/>
      <c r="K234" s="602"/>
      <c r="L234" s="603"/>
      <c r="M234" s="603"/>
      <c r="N234" s="603"/>
      <c r="O234" s="603"/>
      <c r="P234" s="603"/>
      <c r="Q234" s="595"/>
      <c r="R234" s="595"/>
      <c r="S234" s="595"/>
      <c r="T234" s="595"/>
      <c r="U234" s="595"/>
      <c r="V234" s="595"/>
      <c r="W234" s="594"/>
      <c r="X234" s="594"/>
      <c r="Y234" s="595"/>
      <c r="Z234" s="595"/>
      <c r="AA234" s="595"/>
      <c r="AB234" s="595"/>
      <c r="AC234" s="595"/>
    </row>
    <row r="235" spans="1:29" ht="12.75" customHeight="1">
      <c r="A235" s="601"/>
      <c r="B235" s="602"/>
      <c r="C235" s="602"/>
      <c r="D235" s="602"/>
      <c r="E235" s="602"/>
      <c r="F235" s="602"/>
      <c r="G235" s="602"/>
      <c r="H235" s="602"/>
      <c r="I235" s="602"/>
      <c r="J235" s="602"/>
      <c r="K235" s="602"/>
      <c r="L235" s="603"/>
      <c r="M235" s="603"/>
      <c r="N235" s="603"/>
      <c r="O235" s="603"/>
      <c r="P235" s="603"/>
      <c r="Q235" s="595"/>
      <c r="R235" s="595"/>
      <c r="S235" s="595"/>
      <c r="T235" s="595"/>
      <c r="U235" s="595"/>
      <c r="V235" s="595"/>
      <c r="W235" s="594"/>
      <c r="X235" s="594"/>
      <c r="Y235" s="595"/>
      <c r="Z235" s="595"/>
      <c r="AA235" s="595"/>
      <c r="AB235" s="595"/>
      <c r="AC235" s="595"/>
    </row>
    <row r="236" spans="1:29" ht="12.75" customHeight="1">
      <c r="A236" s="601"/>
      <c r="B236" s="602"/>
      <c r="C236" s="602"/>
      <c r="D236" s="602"/>
      <c r="E236" s="602"/>
      <c r="F236" s="602"/>
      <c r="G236" s="602"/>
      <c r="H236" s="602"/>
      <c r="I236" s="602"/>
      <c r="J236" s="602"/>
      <c r="K236" s="602"/>
      <c r="L236" s="603"/>
      <c r="M236" s="603"/>
      <c r="N236" s="603"/>
      <c r="O236" s="603"/>
      <c r="P236" s="603"/>
      <c r="Q236" s="595"/>
      <c r="R236" s="595"/>
      <c r="S236" s="595"/>
      <c r="T236" s="595"/>
      <c r="U236" s="595"/>
      <c r="V236" s="595"/>
      <c r="W236" s="594"/>
      <c r="X236" s="594"/>
      <c r="Y236" s="595"/>
      <c r="Z236" s="595"/>
      <c r="AA236" s="595"/>
      <c r="AB236" s="595"/>
      <c r="AC236" s="595"/>
    </row>
    <row r="237" spans="1:29" ht="12.75" customHeight="1">
      <c r="A237" s="601"/>
      <c r="B237" s="602"/>
      <c r="C237" s="602"/>
      <c r="D237" s="602"/>
      <c r="E237" s="602"/>
      <c r="F237" s="602"/>
      <c r="G237" s="602"/>
      <c r="H237" s="602"/>
      <c r="I237" s="602"/>
      <c r="J237" s="602"/>
      <c r="K237" s="602"/>
      <c r="L237" s="603"/>
      <c r="M237" s="603"/>
      <c r="N237" s="603"/>
      <c r="O237" s="603"/>
      <c r="P237" s="603"/>
      <c r="Q237" s="595"/>
      <c r="R237" s="595"/>
      <c r="S237" s="595"/>
      <c r="T237" s="595"/>
      <c r="U237" s="595"/>
      <c r="V237" s="595"/>
      <c r="W237" s="594"/>
      <c r="X237" s="594"/>
      <c r="Y237" s="595"/>
      <c r="Z237" s="595"/>
      <c r="AA237" s="595"/>
      <c r="AB237" s="595"/>
      <c r="AC237" s="595"/>
    </row>
    <row r="238" spans="1:29" ht="12.75" customHeight="1">
      <c r="A238" s="601"/>
      <c r="B238" s="602"/>
      <c r="C238" s="602"/>
      <c r="D238" s="602"/>
      <c r="E238" s="602"/>
      <c r="F238" s="602"/>
      <c r="G238" s="602"/>
      <c r="H238" s="602"/>
      <c r="I238" s="602"/>
      <c r="J238" s="602"/>
      <c r="K238" s="602"/>
      <c r="L238" s="603"/>
      <c r="M238" s="603"/>
      <c r="N238" s="603"/>
      <c r="O238" s="603"/>
      <c r="P238" s="603"/>
      <c r="Q238" s="595"/>
      <c r="R238" s="595"/>
      <c r="S238" s="595"/>
      <c r="T238" s="595"/>
      <c r="U238" s="595"/>
      <c r="V238" s="595"/>
      <c r="W238" s="594"/>
      <c r="X238" s="594"/>
      <c r="Y238" s="595"/>
      <c r="Z238" s="595"/>
      <c r="AA238" s="595"/>
      <c r="AB238" s="595"/>
      <c r="AC238" s="595"/>
    </row>
    <row r="239" spans="1:29" ht="12.75" customHeight="1">
      <c r="A239" s="601"/>
      <c r="B239" s="602"/>
      <c r="C239" s="602"/>
      <c r="D239" s="602"/>
      <c r="E239" s="602"/>
      <c r="F239" s="602"/>
      <c r="G239" s="602"/>
      <c r="H239" s="602"/>
      <c r="I239" s="602"/>
      <c r="J239" s="602"/>
      <c r="K239" s="602"/>
      <c r="L239" s="603"/>
      <c r="M239" s="603"/>
      <c r="N239" s="603"/>
      <c r="O239" s="603"/>
      <c r="P239" s="603"/>
      <c r="Q239" s="595"/>
      <c r="R239" s="595"/>
      <c r="S239" s="595"/>
      <c r="T239" s="595"/>
      <c r="U239" s="595"/>
      <c r="V239" s="595"/>
      <c r="W239" s="594"/>
      <c r="X239" s="594"/>
      <c r="Y239" s="595"/>
      <c r="Z239" s="595"/>
      <c r="AA239" s="595"/>
      <c r="AB239" s="595"/>
      <c r="AC239" s="595"/>
    </row>
    <row r="240" spans="1:29" ht="12.75" customHeight="1">
      <c r="A240" s="601"/>
      <c r="B240" s="602"/>
      <c r="C240" s="602"/>
      <c r="D240" s="602"/>
      <c r="E240" s="602"/>
      <c r="F240" s="602"/>
      <c r="G240" s="602"/>
      <c r="H240" s="602"/>
      <c r="I240" s="602"/>
      <c r="J240" s="602"/>
      <c r="K240" s="602"/>
      <c r="L240" s="603"/>
      <c r="M240" s="603"/>
      <c r="N240" s="603"/>
      <c r="O240" s="603"/>
      <c r="P240" s="603"/>
      <c r="Q240" s="595"/>
      <c r="R240" s="595"/>
      <c r="S240" s="595"/>
      <c r="T240" s="595"/>
      <c r="U240" s="595"/>
      <c r="V240" s="595"/>
      <c r="W240" s="594"/>
      <c r="X240" s="594"/>
      <c r="Y240" s="595"/>
      <c r="Z240" s="595"/>
      <c r="AA240" s="595"/>
      <c r="AB240" s="595"/>
      <c r="AC240" s="595"/>
    </row>
    <row r="241" spans="1:29" ht="12.75" customHeight="1">
      <c r="A241" s="601"/>
      <c r="B241" s="602"/>
      <c r="C241" s="602"/>
      <c r="D241" s="602"/>
      <c r="E241" s="602"/>
      <c r="F241" s="602"/>
      <c r="G241" s="602"/>
      <c r="H241" s="602"/>
      <c r="I241" s="602"/>
      <c r="J241" s="602"/>
      <c r="K241" s="602"/>
      <c r="L241" s="603"/>
      <c r="M241" s="603"/>
      <c r="N241" s="603"/>
      <c r="O241" s="603"/>
      <c r="P241" s="603"/>
      <c r="Q241" s="595"/>
      <c r="R241" s="595"/>
      <c r="S241" s="595"/>
      <c r="T241" s="595"/>
      <c r="U241" s="595"/>
      <c r="V241" s="595"/>
      <c r="W241" s="594"/>
      <c r="X241" s="594"/>
      <c r="Y241" s="595"/>
      <c r="Z241" s="595"/>
      <c r="AA241" s="595"/>
      <c r="AB241" s="595"/>
      <c r="AC241" s="595"/>
    </row>
    <row r="242" spans="1:29" ht="12.75" customHeight="1">
      <c r="A242" s="601"/>
      <c r="B242" s="602"/>
      <c r="C242" s="602"/>
      <c r="D242" s="602"/>
      <c r="E242" s="602"/>
      <c r="F242" s="602"/>
      <c r="G242" s="602"/>
      <c r="H242" s="602"/>
      <c r="I242" s="602"/>
      <c r="J242" s="602"/>
      <c r="K242" s="602"/>
      <c r="L242" s="603"/>
      <c r="M242" s="603"/>
      <c r="N242" s="603"/>
      <c r="O242" s="603"/>
      <c r="P242" s="603"/>
      <c r="Q242" s="595"/>
      <c r="R242" s="595"/>
      <c r="S242" s="595"/>
      <c r="T242" s="595"/>
      <c r="U242" s="595"/>
      <c r="V242" s="595"/>
      <c r="W242" s="594"/>
      <c r="X242" s="594"/>
      <c r="Y242" s="595"/>
      <c r="Z242" s="595"/>
      <c r="AA242" s="595"/>
      <c r="AB242" s="595"/>
      <c r="AC242" s="595"/>
    </row>
    <row r="243" spans="1:29" ht="12.75" customHeight="1">
      <c r="A243" s="601"/>
      <c r="B243" s="602"/>
      <c r="C243" s="602"/>
      <c r="D243" s="602"/>
      <c r="E243" s="602"/>
      <c r="F243" s="602"/>
      <c r="G243" s="602"/>
      <c r="H243" s="602"/>
      <c r="I243" s="602"/>
      <c r="J243" s="602"/>
      <c r="K243" s="602"/>
      <c r="L243" s="603"/>
      <c r="M243" s="603"/>
      <c r="N243" s="603"/>
      <c r="O243" s="603"/>
      <c r="P243" s="603"/>
      <c r="Q243" s="595"/>
      <c r="R243" s="595"/>
      <c r="S243" s="595"/>
      <c r="T243" s="595"/>
      <c r="U243" s="595"/>
      <c r="V243" s="595"/>
      <c r="W243" s="594"/>
      <c r="X243" s="594"/>
      <c r="Y243" s="595"/>
      <c r="Z243" s="595"/>
      <c r="AA243" s="595"/>
      <c r="AB243" s="595"/>
      <c r="AC243" s="595"/>
    </row>
    <row r="244" spans="1:29" ht="12.75" customHeight="1">
      <c r="A244" s="601"/>
      <c r="B244" s="602"/>
      <c r="C244" s="602"/>
      <c r="D244" s="602"/>
      <c r="E244" s="602"/>
      <c r="F244" s="602"/>
      <c r="G244" s="602"/>
      <c r="H244" s="602"/>
      <c r="I244" s="602"/>
      <c r="J244" s="602"/>
      <c r="K244" s="602"/>
      <c r="L244" s="603"/>
      <c r="M244" s="603"/>
      <c r="N244" s="603"/>
      <c r="O244" s="603"/>
      <c r="P244" s="603"/>
      <c r="Q244" s="595"/>
      <c r="R244" s="595"/>
      <c r="S244" s="595"/>
      <c r="T244" s="595"/>
      <c r="U244" s="595"/>
      <c r="V244" s="595"/>
      <c r="W244" s="594"/>
      <c r="X244" s="594"/>
      <c r="Y244" s="595"/>
      <c r="Z244" s="595"/>
      <c r="AA244" s="595"/>
      <c r="AB244" s="595"/>
      <c r="AC244" s="595"/>
    </row>
    <row r="245" spans="1:29" ht="12.75" customHeight="1">
      <c r="A245" s="601"/>
      <c r="B245" s="602"/>
      <c r="C245" s="602"/>
      <c r="D245" s="602"/>
      <c r="E245" s="602"/>
      <c r="F245" s="602"/>
      <c r="G245" s="602"/>
      <c r="H245" s="602"/>
      <c r="I245" s="602"/>
      <c r="J245" s="602"/>
      <c r="K245" s="602"/>
      <c r="L245" s="603"/>
      <c r="M245" s="603"/>
      <c r="N245" s="603"/>
      <c r="O245" s="603"/>
      <c r="P245" s="603"/>
      <c r="Q245" s="595"/>
      <c r="R245" s="595"/>
      <c r="S245" s="595"/>
      <c r="T245" s="595"/>
      <c r="U245" s="595"/>
      <c r="V245" s="595"/>
      <c r="W245" s="594"/>
      <c r="X245" s="594"/>
      <c r="Y245" s="595"/>
      <c r="Z245" s="595"/>
      <c r="AA245" s="595"/>
      <c r="AB245" s="595"/>
      <c r="AC245" s="595"/>
    </row>
    <row r="246" spans="1:29" ht="12.75" customHeight="1">
      <c r="A246" s="601"/>
      <c r="B246" s="602"/>
      <c r="C246" s="602"/>
      <c r="D246" s="602"/>
      <c r="E246" s="602"/>
      <c r="F246" s="602"/>
      <c r="G246" s="602"/>
      <c r="H246" s="602"/>
      <c r="I246" s="602"/>
      <c r="J246" s="602"/>
      <c r="K246" s="602"/>
      <c r="L246" s="603"/>
      <c r="M246" s="603"/>
      <c r="N246" s="603"/>
      <c r="O246" s="603"/>
      <c r="P246" s="603"/>
      <c r="Q246" s="595"/>
      <c r="R246" s="595"/>
      <c r="S246" s="595"/>
      <c r="T246" s="595"/>
      <c r="U246" s="595"/>
      <c r="V246" s="595"/>
      <c r="W246" s="594"/>
      <c r="X246" s="594"/>
      <c r="Y246" s="595"/>
      <c r="Z246" s="595"/>
      <c r="AA246" s="595"/>
      <c r="AB246" s="595"/>
      <c r="AC246" s="595"/>
    </row>
    <row r="247" spans="1:29" ht="12.75" customHeight="1">
      <c r="A247" s="601"/>
      <c r="B247" s="602"/>
      <c r="C247" s="602"/>
      <c r="D247" s="602"/>
      <c r="E247" s="602"/>
      <c r="F247" s="602"/>
      <c r="G247" s="602"/>
      <c r="H247" s="602"/>
      <c r="I247" s="602"/>
      <c r="J247" s="602"/>
      <c r="K247" s="602"/>
      <c r="L247" s="603"/>
      <c r="M247" s="603"/>
      <c r="N247" s="603"/>
      <c r="O247" s="603"/>
      <c r="P247" s="603"/>
      <c r="Q247" s="595"/>
      <c r="R247" s="595"/>
      <c r="S247" s="595"/>
      <c r="T247" s="595"/>
      <c r="U247" s="595"/>
      <c r="V247" s="595"/>
      <c r="W247" s="594"/>
      <c r="X247" s="594"/>
      <c r="Y247" s="595"/>
      <c r="Z247" s="595"/>
      <c r="AA247" s="595"/>
      <c r="AB247" s="595"/>
      <c r="AC247" s="595"/>
    </row>
    <row r="248" spans="1:29" ht="12.75" customHeight="1">
      <c r="A248" s="601"/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3"/>
      <c r="M248" s="603"/>
      <c r="N248" s="603"/>
      <c r="O248" s="603"/>
      <c r="P248" s="603"/>
      <c r="Q248" s="595"/>
      <c r="R248" s="595"/>
      <c r="S248" s="595"/>
      <c r="T248" s="595"/>
      <c r="U248" s="595"/>
      <c r="V248" s="595"/>
      <c r="W248" s="594"/>
      <c r="X248" s="594"/>
      <c r="Y248" s="595"/>
      <c r="Z248" s="595"/>
      <c r="AA248" s="595"/>
      <c r="AB248" s="595"/>
      <c r="AC248" s="595"/>
    </row>
    <row r="249" spans="1:29" ht="12.75" customHeight="1">
      <c r="A249" s="601"/>
      <c r="B249" s="602"/>
      <c r="C249" s="602"/>
      <c r="D249" s="602"/>
      <c r="E249" s="602"/>
      <c r="F249" s="602"/>
      <c r="G249" s="602"/>
      <c r="H249" s="602"/>
      <c r="I249" s="602"/>
      <c r="J249" s="602"/>
      <c r="K249" s="602"/>
      <c r="L249" s="603"/>
      <c r="M249" s="603"/>
      <c r="N249" s="603"/>
      <c r="O249" s="603"/>
      <c r="P249" s="603"/>
      <c r="Q249" s="595"/>
      <c r="R249" s="595"/>
      <c r="S249" s="595"/>
      <c r="T249" s="595"/>
      <c r="U249" s="595"/>
      <c r="V249" s="595"/>
      <c r="W249" s="594"/>
      <c r="X249" s="594"/>
      <c r="Y249" s="595"/>
      <c r="Z249" s="595"/>
      <c r="AA249" s="595"/>
      <c r="AB249" s="595"/>
      <c r="AC249" s="595"/>
    </row>
    <row r="250" spans="1:29" ht="12.75" customHeight="1">
      <c r="A250" s="601"/>
      <c r="B250" s="602"/>
      <c r="C250" s="602"/>
      <c r="D250" s="602"/>
      <c r="E250" s="602"/>
      <c r="F250" s="602"/>
      <c r="G250" s="602"/>
      <c r="H250" s="602"/>
      <c r="I250" s="602"/>
      <c r="J250" s="602"/>
      <c r="K250" s="602"/>
      <c r="L250" s="603"/>
      <c r="M250" s="603"/>
      <c r="N250" s="603"/>
      <c r="O250" s="603"/>
      <c r="P250" s="603"/>
      <c r="Q250" s="595"/>
      <c r="R250" s="595"/>
      <c r="S250" s="595"/>
      <c r="T250" s="595"/>
      <c r="U250" s="595"/>
      <c r="V250" s="595"/>
      <c r="W250" s="594"/>
      <c r="X250" s="594"/>
      <c r="Y250" s="595"/>
      <c r="Z250" s="595"/>
      <c r="AA250" s="595"/>
      <c r="AB250" s="595"/>
      <c r="AC250" s="595"/>
    </row>
    <row r="251" spans="1:29" ht="12.75" customHeight="1">
      <c r="A251" s="601"/>
      <c r="B251" s="602"/>
      <c r="C251" s="602"/>
      <c r="D251" s="602"/>
      <c r="E251" s="602"/>
      <c r="F251" s="602"/>
      <c r="G251" s="602"/>
      <c r="H251" s="602"/>
      <c r="I251" s="602"/>
      <c r="J251" s="602"/>
      <c r="K251" s="602"/>
      <c r="L251" s="603"/>
      <c r="M251" s="603"/>
      <c r="N251" s="603"/>
      <c r="O251" s="603"/>
      <c r="P251" s="603"/>
      <c r="Q251" s="595"/>
      <c r="R251" s="595"/>
      <c r="S251" s="595"/>
      <c r="T251" s="595"/>
      <c r="U251" s="595"/>
      <c r="V251" s="595"/>
      <c r="W251" s="594"/>
      <c r="X251" s="594"/>
      <c r="Y251" s="595"/>
      <c r="Z251" s="595"/>
      <c r="AA251" s="595"/>
      <c r="AB251" s="595"/>
      <c r="AC251" s="595"/>
    </row>
    <row r="252" spans="1:29" ht="12.75" customHeight="1">
      <c r="A252" s="601"/>
      <c r="B252" s="602"/>
      <c r="C252" s="602"/>
      <c r="D252" s="602"/>
      <c r="E252" s="602"/>
      <c r="F252" s="602"/>
      <c r="G252" s="602"/>
      <c r="H252" s="602"/>
      <c r="I252" s="602"/>
      <c r="J252" s="602"/>
      <c r="K252" s="602"/>
      <c r="L252" s="603"/>
      <c r="M252" s="603"/>
      <c r="N252" s="603"/>
      <c r="O252" s="603"/>
      <c r="P252" s="603"/>
      <c r="Q252" s="595"/>
      <c r="R252" s="595"/>
      <c r="S252" s="595"/>
      <c r="T252" s="595"/>
      <c r="U252" s="595"/>
      <c r="V252" s="595"/>
      <c r="W252" s="594"/>
      <c r="X252" s="594"/>
      <c r="Y252" s="595"/>
      <c r="Z252" s="595"/>
      <c r="AA252" s="595"/>
      <c r="AB252" s="595"/>
      <c r="AC252" s="595"/>
    </row>
    <row r="253" spans="1:29" ht="12.75" customHeight="1">
      <c r="A253" s="601"/>
      <c r="B253" s="602"/>
      <c r="C253" s="602"/>
      <c r="D253" s="602"/>
      <c r="E253" s="602"/>
      <c r="F253" s="602"/>
      <c r="G253" s="602"/>
      <c r="H253" s="602"/>
      <c r="I253" s="602"/>
      <c r="J253" s="602"/>
      <c r="K253" s="602"/>
      <c r="L253" s="603"/>
      <c r="M253" s="603"/>
      <c r="N253" s="603"/>
      <c r="O253" s="603"/>
      <c r="P253" s="603"/>
      <c r="Q253" s="595"/>
      <c r="R253" s="595"/>
      <c r="S253" s="595"/>
      <c r="T253" s="595"/>
      <c r="U253" s="595"/>
      <c r="V253" s="595"/>
      <c r="W253" s="594"/>
      <c r="X253" s="594"/>
      <c r="Y253" s="595"/>
      <c r="Z253" s="595"/>
      <c r="AA253" s="595"/>
      <c r="AB253" s="595"/>
      <c r="AC253" s="595"/>
    </row>
    <row r="254" spans="1:29" ht="12.75" customHeight="1">
      <c r="A254" s="601"/>
      <c r="B254" s="602"/>
      <c r="C254" s="602"/>
      <c r="D254" s="602"/>
      <c r="E254" s="602"/>
      <c r="F254" s="602"/>
      <c r="G254" s="602"/>
      <c r="H254" s="602"/>
      <c r="I254" s="602"/>
      <c r="J254" s="602"/>
      <c r="K254" s="602"/>
      <c r="L254" s="603"/>
      <c r="M254" s="603"/>
      <c r="N254" s="603"/>
      <c r="O254" s="603"/>
      <c r="P254" s="603"/>
      <c r="Q254" s="595"/>
      <c r="R254" s="595"/>
      <c r="S254" s="595"/>
      <c r="T254" s="595"/>
      <c r="U254" s="595"/>
      <c r="V254" s="595"/>
      <c r="W254" s="594"/>
      <c r="X254" s="594"/>
      <c r="Y254" s="595"/>
      <c r="Z254" s="595"/>
      <c r="AA254" s="595"/>
      <c r="AB254" s="595"/>
      <c r="AC254" s="595"/>
    </row>
    <row r="255" spans="1:29" ht="12.75" customHeight="1">
      <c r="A255" s="601"/>
      <c r="B255" s="602"/>
      <c r="C255" s="602"/>
      <c r="D255" s="602"/>
      <c r="E255" s="602"/>
      <c r="F255" s="602"/>
      <c r="G255" s="602"/>
      <c r="H255" s="602"/>
      <c r="I255" s="602"/>
      <c r="J255" s="602"/>
      <c r="K255" s="602"/>
      <c r="L255" s="603"/>
      <c r="M255" s="603"/>
      <c r="N255" s="603"/>
      <c r="O255" s="603"/>
      <c r="P255" s="603"/>
      <c r="Q255" s="595"/>
      <c r="R255" s="595"/>
      <c r="S255" s="595"/>
      <c r="T255" s="595"/>
      <c r="U255" s="595"/>
      <c r="V255" s="595"/>
      <c r="W255" s="594"/>
      <c r="X255" s="594"/>
      <c r="Y255" s="595"/>
      <c r="Z255" s="595"/>
      <c r="AA255" s="595"/>
      <c r="AB255" s="595"/>
      <c r="AC255" s="595"/>
    </row>
    <row r="256" spans="1:29" ht="12.75" customHeight="1">
      <c r="A256" s="601"/>
      <c r="B256" s="602"/>
      <c r="C256" s="602"/>
      <c r="D256" s="602"/>
      <c r="E256" s="602"/>
      <c r="F256" s="602"/>
      <c r="G256" s="602"/>
      <c r="H256" s="602"/>
      <c r="I256" s="602"/>
      <c r="J256" s="602"/>
      <c r="K256" s="602"/>
      <c r="L256" s="603"/>
      <c r="M256" s="603"/>
      <c r="N256" s="603"/>
      <c r="O256" s="603"/>
      <c r="P256" s="603"/>
      <c r="Q256" s="595"/>
      <c r="R256" s="595"/>
      <c r="S256" s="595"/>
      <c r="T256" s="595"/>
      <c r="U256" s="595"/>
      <c r="V256" s="595"/>
      <c r="W256" s="594"/>
      <c r="X256" s="594"/>
      <c r="Y256" s="595"/>
      <c r="Z256" s="595"/>
      <c r="AA256" s="595"/>
      <c r="AB256" s="595"/>
      <c r="AC256" s="595"/>
    </row>
    <row r="257" spans="1:29" ht="12.75" customHeight="1">
      <c r="A257" s="601"/>
      <c r="B257" s="602"/>
      <c r="C257" s="602"/>
      <c r="D257" s="602"/>
      <c r="E257" s="602"/>
      <c r="F257" s="602"/>
      <c r="G257" s="602"/>
      <c r="H257" s="602"/>
      <c r="I257" s="602"/>
      <c r="J257" s="602"/>
      <c r="K257" s="602"/>
      <c r="L257" s="603"/>
      <c r="M257" s="603"/>
      <c r="N257" s="603"/>
      <c r="O257" s="603"/>
      <c r="P257" s="603"/>
      <c r="Q257" s="595"/>
      <c r="R257" s="595"/>
      <c r="S257" s="595"/>
      <c r="T257" s="595"/>
      <c r="U257" s="595"/>
      <c r="V257" s="595"/>
      <c r="W257" s="594"/>
      <c r="X257" s="594"/>
      <c r="Y257" s="595"/>
      <c r="Z257" s="595"/>
      <c r="AA257" s="595"/>
      <c r="AB257" s="595"/>
      <c r="AC257" s="595"/>
    </row>
    <row r="258" spans="1:29" ht="12.75" customHeight="1">
      <c r="A258" s="601"/>
      <c r="B258" s="602"/>
      <c r="C258" s="602"/>
      <c r="D258" s="602"/>
      <c r="E258" s="602"/>
      <c r="F258" s="602"/>
      <c r="G258" s="602"/>
      <c r="H258" s="602"/>
      <c r="I258" s="602"/>
      <c r="J258" s="602"/>
      <c r="K258" s="602"/>
      <c r="L258" s="603"/>
      <c r="M258" s="603"/>
      <c r="N258" s="603"/>
      <c r="O258" s="603"/>
      <c r="P258" s="603"/>
      <c r="Q258" s="595"/>
      <c r="R258" s="595"/>
      <c r="S258" s="595"/>
      <c r="T258" s="595"/>
      <c r="U258" s="595"/>
      <c r="V258" s="595"/>
      <c r="W258" s="594"/>
      <c r="X258" s="594"/>
      <c r="Y258" s="595"/>
      <c r="Z258" s="595"/>
      <c r="AA258" s="595"/>
      <c r="AB258" s="595"/>
      <c r="AC258" s="595"/>
    </row>
    <row r="259" spans="1:29" ht="12.75" customHeight="1">
      <c r="A259" s="601"/>
      <c r="B259" s="602"/>
      <c r="C259" s="602"/>
      <c r="D259" s="602"/>
      <c r="E259" s="602"/>
      <c r="F259" s="602"/>
      <c r="G259" s="602"/>
      <c r="H259" s="602"/>
      <c r="I259" s="602"/>
      <c r="J259" s="602"/>
      <c r="K259" s="602"/>
      <c r="L259" s="603"/>
      <c r="M259" s="603"/>
      <c r="N259" s="603"/>
      <c r="O259" s="603"/>
      <c r="P259" s="603"/>
      <c r="Q259" s="595"/>
      <c r="R259" s="595"/>
      <c r="S259" s="595"/>
      <c r="T259" s="595"/>
      <c r="U259" s="595"/>
      <c r="V259" s="595"/>
      <c r="W259" s="594"/>
      <c r="X259" s="594"/>
      <c r="Y259" s="595"/>
      <c r="Z259" s="595"/>
      <c r="AA259" s="595"/>
      <c r="AB259" s="595"/>
      <c r="AC259" s="595"/>
    </row>
    <row r="260" spans="1:29" ht="12.75" customHeight="1">
      <c r="A260" s="601"/>
      <c r="B260" s="602"/>
      <c r="C260" s="602"/>
      <c r="D260" s="602"/>
      <c r="E260" s="602"/>
      <c r="F260" s="602"/>
      <c r="G260" s="602"/>
      <c r="H260" s="602"/>
      <c r="I260" s="602"/>
      <c r="J260" s="602"/>
      <c r="K260" s="602"/>
      <c r="L260" s="603"/>
      <c r="M260" s="603"/>
      <c r="N260" s="603"/>
      <c r="O260" s="603"/>
      <c r="P260" s="603"/>
      <c r="Q260" s="595"/>
      <c r="R260" s="595"/>
      <c r="S260" s="595"/>
      <c r="T260" s="595"/>
      <c r="U260" s="595"/>
      <c r="V260" s="595"/>
      <c r="W260" s="594"/>
      <c r="X260" s="594"/>
      <c r="Y260" s="595"/>
      <c r="Z260" s="595"/>
      <c r="AA260" s="595"/>
      <c r="AB260" s="595"/>
      <c r="AC260" s="595"/>
    </row>
    <row r="261" spans="1:29" ht="12.75" customHeight="1">
      <c r="A261" s="601"/>
      <c r="B261" s="602"/>
      <c r="C261" s="602"/>
      <c r="D261" s="602"/>
      <c r="E261" s="602"/>
      <c r="F261" s="602"/>
      <c r="G261" s="602"/>
      <c r="H261" s="602"/>
      <c r="I261" s="602"/>
      <c r="J261" s="602"/>
      <c r="K261" s="602"/>
      <c r="L261" s="603"/>
      <c r="M261" s="603"/>
      <c r="N261" s="603"/>
      <c r="O261" s="603"/>
      <c r="P261" s="603"/>
      <c r="Q261" s="595"/>
      <c r="R261" s="595"/>
      <c r="S261" s="595"/>
      <c r="T261" s="595"/>
      <c r="U261" s="595"/>
      <c r="V261" s="595"/>
      <c r="W261" s="594"/>
      <c r="X261" s="594"/>
      <c r="Y261" s="595"/>
      <c r="Z261" s="595"/>
      <c r="AA261" s="595"/>
      <c r="AB261" s="595"/>
      <c r="AC261" s="595"/>
    </row>
    <row r="262" spans="1:29" ht="12.75" customHeight="1">
      <c r="A262" s="601"/>
      <c r="B262" s="602"/>
      <c r="C262" s="602"/>
      <c r="D262" s="602"/>
      <c r="E262" s="602"/>
      <c r="F262" s="602"/>
      <c r="G262" s="602"/>
      <c r="H262" s="602"/>
      <c r="I262" s="602"/>
      <c r="J262" s="602"/>
      <c r="K262" s="602"/>
      <c r="L262" s="603"/>
      <c r="M262" s="603"/>
      <c r="N262" s="603"/>
      <c r="O262" s="603"/>
      <c r="P262" s="603"/>
      <c r="Q262" s="595"/>
      <c r="R262" s="595"/>
      <c r="S262" s="595"/>
      <c r="T262" s="595"/>
      <c r="U262" s="595"/>
      <c r="V262" s="595"/>
      <c r="W262" s="594"/>
      <c r="X262" s="594"/>
      <c r="Y262" s="595"/>
      <c r="Z262" s="595"/>
      <c r="AA262" s="595"/>
      <c r="AB262" s="595"/>
      <c r="AC262" s="595"/>
    </row>
    <row r="263" spans="1:29" ht="12.75" customHeight="1">
      <c r="A263" s="601"/>
      <c r="B263" s="602"/>
      <c r="C263" s="602"/>
      <c r="D263" s="602"/>
      <c r="E263" s="602"/>
      <c r="F263" s="602"/>
      <c r="G263" s="602"/>
      <c r="H263" s="602"/>
      <c r="I263" s="602"/>
      <c r="J263" s="602"/>
      <c r="K263" s="602"/>
      <c r="L263" s="603"/>
      <c r="M263" s="603"/>
      <c r="N263" s="603"/>
      <c r="O263" s="603"/>
      <c r="P263" s="603"/>
      <c r="Q263" s="595"/>
      <c r="R263" s="595"/>
      <c r="S263" s="595"/>
      <c r="T263" s="595"/>
      <c r="U263" s="595"/>
      <c r="V263" s="595"/>
      <c r="W263" s="594"/>
      <c r="X263" s="594"/>
      <c r="Y263" s="595"/>
      <c r="Z263" s="595"/>
      <c r="AA263" s="595"/>
      <c r="AB263" s="595"/>
      <c r="AC263" s="595"/>
    </row>
    <row r="264" spans="1:29" ht="12.75" customHeight="1">
      <c r="A264" s="601"/>
      <c r="B264" s="602"/>
      <c r="C264" s="602"/>
      <c r="D264" s="602"/>
      <c r="E264" s="602"/>
      <c r="F264" s="602"/>
      <c r="G264" s="602"/>
      <c r="H264" s="602"/>
      <c r="I264" s="602"/>
      <c r="J264" s="602"/>
      <c r="K264" s="602"/>
      <c r="L264" s="603"/>
      <c r="M264" s="603"/>
      <c r="N264" s="603"/>
      <c r="O264" s="603"/>
      <c r="P264" s="603"/>
      <c r="Q264" s="595"/>
      <c r="R264" s="595"/>
      <c r="S264" s="595"/>
      <c r="T264" s="595"/>
      <c r="U264" s="595"/>
      <c r="V264" s="595"/>
      <c r="W264" s="594"/>
      <c r="X264" s="594"/>
      <c r="Y264" s="595"/>
      <c r="Z264" s="595"/>
      <c r="AA264" s="595"/>
      <c r="AB264" s="595"/>
      <c r="AC264" s="595"/>
    </row>
    <row r="265" spans="1:29" ht="12.75" customHeight="1">
      <c r="A265" s="601"/>
      <c r="B265" s="602"/>
      <c r="C265" s="602"/>
      <c r="D265" s="602"/>
      <c r="E265" s="602"/>
      <c r="F265" s="602"/>
      <c r="G265" s="602"/>
      <c r="H265" s="602"/>
      <c r="I265" s="602"/>
      <c r="J265" s="602"/>
      <c r="K265" s="602"/>
      <c r="L265" s="603"/>
      <c r="M265" s="603"/>
      <c r="N265" s="603"/>
      <c r="O265" s="603"/>
      <c r="P265" s="603"/>
      <c r="Q265" s="595"/>
      <c r="R265" s="595"/>
      <c r="S265" s="595"/>
      <c r="T265" s="595"/>
      <c r="U265" s="595"/>
      <c r="V265" s="595"/>
      <c r="W265" s="594"/>
      <c r="X265" s="594"/>
      <c r="Y265" s="595"/>
      <c r="Z265" s="595"/>
      <c r="AA265" s="595"/>
      <c r="AB265" s="595"/>
      <c r="AC265" s="595"/>
    </row>
    <row r="266" spans="1:29" ht="12.75" customHeight="1">
      <c r="A266" s="601"/>
      <c r="B266" s="602"/>
      <c r="C266" s="602"/>
      <c r="D266" s="602"/>
      <c r="E266" s="602"/>
      <c r="F266" s="602"/>
      <c r="G266" s="602"/>
      <c r="H266" s="602"/>
      <c r="I266" s="602"/>
      <c r="J266" s="602"/>
      <c r="K266" s="602"/>
      <c r="L266" s="603"/>
      <c r="M266" s="603"/>
      <c r="N266" s="603"/>
      <c r="O266" s="603"/>
      <c r="P266" s="603"/>
      <c r="Q266" s="595"/>
      <c r="R266" s="595"/>
      <c r="S266" s="595"/>
      <c r="T266" s="595"/>
      <c r="U266" s="595"/>
      <c r="V266" s="595"/>
      <c r="W266" s="594"/>
      <c r="X266" s="594"/>
      <c r="Y266" s="595"/>
      <c r="Z266" s="595"/>
      <c r="AA266" s="595"/>
      <c r="AB266" s="595"/>
      <c r="AC266" s="595"/>
    </row>
    <row r="267" spans="1:29" ht="12.75" customHeight="1">
      <c r="A267" s="601"/>
      <c r="B267" s="602"/>
      <c r="C267" s="602"/>
      <c r="D267" s="602"/>
      <c r="E267" s="602"/>
      <c r="F267" s="602"/>
      <c r="G267" s="602"/>
      <c r="H267" s="602"/>
      <c r="I267" s="602"/>
      <c r="J267" s="602"/>
      <c r="K267" s="602"/>
      <c r="L267" s="603"/>
      <c r="M267" s="603"/>
      <c r="N267" s="603"/>
      <c r="O267" s="603"/>
      <c r="P267" s="603"/>
      <c r="Q267" s="595"/>
      <c r="R267" s="595"/>
      <c r="S267" s="595"/>
      <c r="T267" s="595"/>
      <c r="U267" s="595"/>
      <c r="V267" s="595"/>
      <c r="W267" s="594"/>
      <c r="X267" s="594"/>
      <c r="Y267" s="595"/>
      <c r="Z267" s="595"/>
      <c r="AA267" s="595"/>
      <c r="AB267" s="595"/>
      <c r="AC267" s="595"/>
    </row>
    <row r="268" spans="1:29" ht="12.75" customHeight="1">
      <c r="A268" s="601"/>
      <c r="B268" s="602"/>
      <c r="C268" s="602"/>
      <c r="D268" s="602"/>
      <c r="E268" s="602"/>
      <c r="F268" s="602"/>
      <c r="G268" s="602"/>
      <c r="H268" s="602"/>
      <c r="I268" s="602"/>
      <c r="J268" s="602"/>
      <c r="K268" s="602"/>
      <c r="L268" s="603"/>
      <c r="M268" s="603"/>
      <c r="N268" s="603"/>
      <c r="O268" s="603"/>
      <c r="P268" s="603"/>
      <c r="Q268" s="595"/>
      <c r="R268" s="595"/>
      <c r="S268" s="595"/>
      <c r="T268" s="595"/>
      <c r="U268" s="595"/>
      <c r="V268" s="595"/>
      <c r="W268" s="594"/>
      <c r="X268" s="594"/>
      <c r="Y268" s="595"/>
      <c r="Z268" s="595"/>
      <c r="AA268" s="595"/>
      <c r="AB268" s="595"/>
      <c r="AC268" s="595"/>
    </row>
    <row r="269" spans="1:29" ht="12.75" customHeight="1">
      <c r="A269" s="601"/>
      <c r="B269" s="602"/>
      <c r="C269" s="602"/>
      <c r="D269" s="602"/>
      <c r="E269" s="602"/>
      <c r="F269" s="602"/>
      <c r="G269" s="602"/>
      <c r="H269" s="602"/>
      <c r="I269" s="602"/>
      <c r="J269" s="602"/>
      <c r="K269" s="602"/>
      <c r="L269" s="603"/>
      <c r="M269" s="603"/>
      <c r="N269" s="603"/>
      <c r="O269" s="603"/>
      <c r="P269" s="603"/>
      <c r="Q269" s="595"/>
      <c r="R269" s="595"/>
      <c r="S269" s="595"/>
      <c r="T269" s="595"/>
      <c r="U269" s="595"/>
      <c r="V269" s="595"/>
      <c r="W269" s="594"/>
      <c r="X269" s="594"/>
      <c r="Y269" s="595"/>
      <c r="Z269" s="595"/>
      <c r="AA269" s="595"/>
      <c r="AB269" s="595"/>
      <c r="AC269" s="595"/>
    </row>
    <row r="270" spans="1:29" ht="12.75" customHeight="1">
      <c r="A270" s="601"/>
      <c r="B270" s="602"/>
      <c r="C270" s="602"/>
      <c r="D270" s="602"/>
      <c r="E270" s="602"/>
      <c r="F270" s="602"/>
      <c r="G270" s="602"/>
      <c r="H270" s="602"/>
      <c r="I270" s="602"/>
      <c r="J270" s="602"/>
      <c r="K270" s="602"/>
      <c r="L270" s="603"/>
      <c r="M270" s="603"/>
      <c r="N270" s="603"/>
      <c r="O270" s="603"/>
      <c r="P270" s="603"/>
      <c r="Q270" s="595"/>
      <c r="R270" s="595"/>
      <c r="S270" s="595"/>
      <c r="T270" s="595"/>
      <c r="U270" s="595"/>
      <c r="V270" s="595"/>
      <c r="W270" s="594"/>
      <c r="X270" s="594"/>
      <c r="Y270" s="595"/>
      <c r="Z270" s="595"/>
      <c r="AA270" s="595"/>
      <c r="AB270" s="595"/>
      <c r="AC270" s="595"/>
    </row>
    <row r="271" spans="1:29" ht="12.75" customHeight="1">
      <c r="A271" s="601"/>
      <c r="B271" s="602"/>
      <c r="C271" s="602"/>
      <c r="D271" s="602"/>
      <c r="E271" s="602"/>
      <c r="F271" s="602"/>
      <c r="G271" s="602"/>
      <c r="H271" s="602"/>
      <c r="I271" s="602"/>
      <c r="J271" s="602"/>
      <c r="K271" s="602"/>
      <c r="L271" s="603"/>
      <c r="M271" s="603"/>
      <c r="N271" s="603"/>
      <c r="O271" s="603"/>
      <c r="P271" s="603"/>
      <c r="Q271" s="595"/>
      <c r="R271" s="595"/>
      <c r="S271" s="595"/>
      <c r="T271" s="595"/>
      <c r="U271" s="595"/>
      <c r="V271" s="595"/>
      <c r="W271" s="594"/>
      <c r="X271" s="594"/>
      <c r="Y271" s="595"/>
      <c r="Z271" s="595"/>
      <c r="AA271" s="595"/>
      <c r="AB271" s="595"/>
      <c r="AC271" s="595"/>
    </row>
    <row r="272" spans="1:29" ht="12.75" customHeight="1">
      <c r="A272" s="601"/>
      <c r="B272" s="602"/>
      <c r="C272" s="602"/>
      <c r="D272" s="602"/>
      <c r="E272" s="602"/>
      <c r="F272" s="602"/>
      <c r="G272" s="602"/>
      <c r="H272" s="602"/>
      <c r="I272" s="602"/>
      <c r="J272" s="602"/>
      <c r="K272" s="602"/>
      <c r="L272" s="603"/>
      <c r="M272" s="603"/>
      <c r="N272" s="603"/>
      <c r="O272" s="603"/>
      <c r="P272" s="603"/>
      <c r="Q272" s="595"/>
      <c r="R272" s="595"/>
      <c r="S272" s="595"/>
      <c r="T272" s="595"/>
      <c r="U272" s="595"/>
      <c r="V272" s="595"/>
      <c r="W272" s="594"/>
      <c r="X272" s="594"/>
      <c r="Y272" s="595"/>
      <c r="Z272" s="595"/>
      <c r="AA272" s="595"/>
      <c r="AB272" s="595"/>
      <c r="AC272" s="595"/>
    </row>
    <row r="273" spans="1:29" ht="12.75" customHeight="1">
      <c r="A273" s="601"/>
      <c r="B273" s="602"/>
      <c r="C273" s="602"/>
      <c r="D273" s="602"/>
      <c r="E273" s="602"/>
      <c r="F273" s="602"/>
      <c r="G273" s="602"/>
      <c r="H273" s="602"/>
      <c r="I273" s="602"/>
      <c r="J273" s="602"/>
      <c r="K273" s="602"/>
      <c r="L273" s="603"/>
      <c r="M273" s="603"/>
      <c r="N273" s="603"/>
      <c r="O273" s="603"/>
      <c r="P273" s="603"/>
      <c r="Q273" s="595"/>
      <c r="R273" s="595"/>
      <c r="S273" s="595"/>
      <c r="T273" s="595"/>
      <c r="U273" s="595"/>
      <c r="V273" s="595"/>
      <c r="W273" s="594"/>
      <c r="X273" s="594"/>
      <c r="Y273" s="595"/>
      <c r="Z273" s="595"/>
      <c r="AA273" s="595"/>
      <c r="AB273" s="595"/>
      <c r="AC273" s="595"/>
    </row>
    <row r="274" spans="1:29" ht="12.75" customHeight="1">
      <c r="A274" s="601"/>
      <c r="B274" s="602"/>
      <c r="C274" s="602"/>
      <c r="D274" s="602"/>
      <c r="E274" s="602"/>
      <c r="F274" s="602"/>
      <c r="G274" s="602"/>
      <c r="H274" s="602"/>
      <c r="I274" s="602"/>
      <c r="J274" s="602"/>
      <c r="K274" s="602"/>
      <c r="L274" s="603"/>
      <c r="M274" s="603"/>
      <c r="N274" s="603"/>
      <c r="O274" s="603"/>
      <c r="P274" s="603"/>
      <c r="Q274" s="595"/>
      <c r="R274" s="595"/>
      <c r="S274" s="595"/>
      <c r="T274" s="595"/>
      <c r="U274" s="595"/>
      <c r="V274" s="595"/>
      <c r="W274" s="594"/>
      <c r="X274" s="594"/>
      <c r="Y274" s="595"/>
      <c r="Z274" s="595"/>
      <c r="AA274" s="595"/>
      <c r="AB274" s="595"/>
      <c r="AC274" s="595"/>
    </row>
    <row r="275" spans="1:29" ht="12.75" customHeight="1">
      <c r="A275" s="601"/>
      <c r="B275" s="602"/>
      <c r="C275" s="602"/>
      <c r="D275" s="602"/>
      <c r="E275" s="602"/>
      <c r="F275" s="602"/>
      <c r="G275" s="602"/>
      <c r="H275" s="602"/>
      <c r="I275" s="602"/>
      <c r="J275" s="602"/>
      <c r="K275" s="602"/>
      <c r="L275" s="603"/>
      <c r="M275" s="603"/>
      <c r="N275" s="603"/>
      <c r="O275" s="603"/>
      <c r="P275" s="603"/>
      <c r="Q275" s="595"/>
      <c r="R275" s="595"/>
      <c r="S275" s="595"/>
      <c r="T275" s="595"/>
      <c r="U275" s="595"/>
      <c r="V275" s="595"/>
      <c r="W275" s="594"/>
      <c r="X275" s="594"/>
      <c r="Y275" s="595"/>
      <c r="Z275" s="595"/>
      <c r="AA275" s="595"/>
      <c r="AB275" s="595"/>
      <c r="AC275" s="595"/>
    </row>
    <row r="276" spans="1:29" ht="12.75" customHeight="1">
      <c r="A276" s="601"/>
      <c r="B276" s="602"/>
      <c r="C276" s="602"/>
      <c r="D276" s="602"/>
      <c r="E276" s="602"/>
      <c r="F276" s="602"/>
      <c r="G276" s="602"/>
      <c r="H276" s="602"/>
      <c r="I276" s="602"/>
      <c r="J276" s="602"/>
      <c r="K276" s="602"/>
      <c r="L276" s="603"/>
      <c r="M276" s="603"/>
      <c r="N276" s="603"/>
      <c r="O276" s="603"/>
      <c r="P276" s="603"/>
      <c r="Q276" s="595"/>
      <c r="R276" s="595"/>
      <c r="S276" s="595"/>
      <c r="T276" s="595"/>
      <c r="U276" s="595"/>
      <c r="V276" s="595"/>
      <c r="W276" s="594"/>
      <c r="X276" s="594"/>
      <c r="Y276" s="595"/>
      <c r="Z276" s="595"/>
      <c r="AA276" s="595"/>
      <c r="AB276" s="595"/>
      <c r="AC276" s="595"/>
    </row>
    <row r="277" spans="1:29" ht="12.75" customHeight="1">
      <c r="A277" s="601"/>
      <c r="B277" s="602"/>
      <c r="C277" s="602"/>
      <c r="D277" s="602"/>
      <c r="E277" s="602"/>
      <c r="F277" s="602"/>
      <c r="G277" s="602"/>
      <c r="H277" s="602"/>
      <c r="I277" s="602"/>
      <c r="J277" s="602"/>
      <c r="K277" s="602"/>
      <c r="L277" s="603"/>
      <c r="M277" s="603"/>
      <c r="N277" s="603"/>
      <c r="O277" s="603"/>
      <c r="P277" s="603"/>
      <c r="Q277" s="595"/>
      <c r="R277" s="595"/>
      <c r="S277" s="595"/>
      <c r="T277" s="595"/>
      <c r="U277" s="595"/>
      <c r="V277" s="595"/>
      <c r="W277" s="594"/>
      <c r="X277" s="594"/>
      <c r="Y277" s="595"/>
      <c r="Z277" s="595"/>
      <c r="AA277" s="595"/>
      <c r="AB277" s="595"/>
      <c r="AC277" s="595"/>
    </row>
    <row r="278" spans="1:29" ht="12.75" customHeight="1">
      <c r="A278" s="601"/>
      <c r="B278" s="602"/>
      <c r="C278" s="602"/>
      <c r="D278" s="602"/>
      <c r="E278" s="602"/>
      <c r="F278" s="602"/>
      <c r="G278" s="602"/>
      <c r="H278" s="602"/>
      <c r="I278" s="602"/>
      <c r="J278" s="602"/>
      <c r="K278" s="602"/>
      <c r="L278" s="603"/>
      <c r="M278" s="603"/>
      <c r="N278" s="603"/>
      <c r="O278" s="603"/>
      <c r="P278" s="603"/>
      <c r="Q278" s="595"/>
      <c r="R278" s="595"/>
      <c r="S278" s="595"/>
      <c r="T278" s="595"/>
      <c r="U278" s="595"/>
      <c r="V278" s="595"/>
      <c r="W278" s="594"/>
      <c r="X278" s="594"/>
      <c r="Y278" s="595"/>
      <c r="Z278" s="595"/>
      <c r="AA278" s="595"/>
      <c r="AB278" s="595"/>
      <c r="AC278" s="595"/>
    </row>
    <row r="279" spans="1:29" ht="12.75" customHeight="1">
      <c r="A279" s="601"/>
      <c r="B279" s="602"/>
      <c r="C279" s="602"/>
      <c r="D279" s="602"/>
      <c r="E279" s="602"/>
      <c r="F279" s="602"/>
      <c r="G279" s="602"/>
      <c r="H279" s="602"/>
      <c r="I279" s="602"/>
      <c r="J279" s="602"/>
      <c r="K279" s="602"/>
      <c r="L279" s="603"/>
      <c r="M279" s="603"/>
      <c r="N279" s="603"/>
      <c r="O279" s="603"/>
      <c r="P279" s="603"/>
      <c r="Q279" s="595"/>
      <c r="R279" s="595"/>
      <c r="S279" s="595"/>
      <c r="T279" s="595"/>
      <c r="U279" s="595"/>
      <c r="V279" s="595"/>
      <c r="W279" s="594"/>
      <c r="X279" s="594"/>
      <c r="Y279" s="595"/>
      <c r="Z279" s="595"/>
      <c r="AA279" s="595"/>
      <c r="AB279" s="595"/>
      <c r="AC279" s="595"/>
    </row>
    <row r="280" spans="1:29" ht="12.75" customHeight="1">
      <c r="A280" s="601"/>
      <c r="B280" s="602"/>
      <c r="C280" s="602"/>
      <c r="D280" s="602"/>
      <c r="E280" s="602"/>
      <c r="F280" s="602"/>
      <c r="G280" s="602"/>
      <c r="H280" s="602"/>
      <c r="I280" s="602"/>
      <c r="J280" s="602"/>
      <c r="K280" s="602"/>
      <c r="L280" s="603"/>
      <c r="M280" s="603"/>
      <c r="N280" s="603"/>
      <c r="O280" s="603"/>
      <c r="P280" s="603"/>
      <c r="Q280" s="595"/>
      <c r="R280" s="595"/>
      <c r="S280" s="595"/>
      <c r="T280" s="595"/>
      <c r="U280" s="595"/>
      <c r="V280" s="595"/>
      <c r="W280" s="594"/>
      <c r="X280" s="594"/>
      <c r="Y280" s="595"/>
      <c r="Z280" s="595"/>
      <c r="AA280" s="595"/>
      <c r="AB280" s="595"/>
      <c r="AC280" s="595"/>
    </row>
    <row r="281" spans="1:29" ht="12.75" customHeight="1">
      <c r="A281" s="601"/>
      <c r="B281" s="602"/>
      <c r="C281" s="602"/>
      <c r="D281" s="602"/>
      <c r="E281" s="602"/>
      <c r="F281" s="602"/>
      <c r="G281" s="602"/>
      <c r="H281" s="602"/>
      <c r="I281" s="602"/>
      <c r="J281" s="602"/>
      <c r="K281" s="602"/>
      <c r="L281" s="603"/>
      <c r="M281" s="603"/>
      <c r="N281" s="603"/>
      <c r="O281" s="603"/>
      <c r="P281" s="603"/>
      <c r="Q281" s="595"/>
      <c r="R281" s="595"/>
      <c r="S281" s="595"/>
      <c r="T281" s="595"/>
      <c r="U281" s="595"/>
      <c r="V281" s="595"/>
      <c r="W281" s="594"/>
      <c r="X281" s="594"/>
      <c r="Y281" s="595"/>
      <c r="Z281" s="595"/>
      <c r="AA281" s="595"/>
      <c r="AB281" s="595"/>
      <c r="AC281" s="595"/>
    </row>
    <row r="282" spans="1:29" ht="12.75" customHeight="1">
      <c r="A282" s="601"/>
      <c r="B282" s="602"/>
      <c r="C282" s="602"/>
      <c r="D282" s="602"/>
      <c r="E282" s="602"/>
      <c r="F282" s="602"/>
      <c r="G282" s="602"/>
      <c r="H282" s="602"/>
      <c r="I282" s="602"/>
      <c r="J282" s="602"/>
      <c r="K282" s="602"/>
      <c r="L282" s="603"/>
      <c r="M282" s="603"/>
      <c r="N282" s="603"/>
      <c r="O282" s="603"/>
      <c r="P282" s="603"/>
      <c r="Q282" s="595"/>
      <c r="R282" s="595"/>
      <c r="S282" s="595"/>
      <c r="T282" s="595"/>
      <c r="U282" s="595"/>
      <c r="V282" s="595"/>
      <c r="W282" s="594"/>
      <c r="X282" s="594"/>
      <c r="Y282" s="595"/>
      <c r="Z282" s="595"/>
      <c r="AA282" s="595"/>
      <c r="AB282" s="595"/>
      <c r="AC282" s="595"/>
    </row>
    <row r="283" spans="1:29" ht="12.75" customHeight="1">
      <c r="A283" s="601"/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3"/>
      <c r="M283" s="603"/>
      <c r="N283" s="603"/>
      <c r="O283" s="603"/>
      <c r="P283" s="603"/>
      <c r="Q283" s="595"/>
      <c r="R283" s="595"/>
      <c r="S283" s="595"/>
      <c r="T283" s="595"/>
      <c r="U283" s="595"/>
      <c r="V283" s="595"/>
      <c r="W283" s="594"/>
      <c r="X283" s="594"/>
      <c r="Y283" s="595"/>
      <c r="Z283" s="595"/>
      <c r="AA283" s="595"/>
      <c r="AB283" s="595"/>
      <c r="AC283" s="595"/>
    </row>
    <row r="284" spans="1:29" ht="12.75" customHeight="1">
      <c r="A284" s="601"/>
      <c r="B284" s="602"/>
      <c r="C284" s="602"/>
      <c r="D284" s="602"/>
      <c r="E284" s="602"/>
      <c r="F284" s="602"/>
      <c r="G284" s="602"/>
      <c r="H284" s="602"/>
      <c r="I284" s="602"/>
      <c r="J284" s="602"/>
      <c r="K284" s="602"/>
      <c r="L284" s="603"/>
      <c r="M284" s="603"/>
      <c r="N284" s="603"/>
      <c r="O284" s="603"/>
      <c r="P284" s="603"/>
      <c r="Q284" s="595"/>
      <c r="R284" s="595"/>
      <c r="S284" s="595"/>
      <c r="T284" s="595"/>
      <c r="U284" s="595"/>
      <c r="V284" s="595"/>
      <c r="W284" s="594"/>
      <c r="X284" s="594"/>
      <c r="Y284" s="595"/>
      <c r="Z284" s="595"/>
      <c r="AA284" s="595"/>
      <c r="AB284" s="595"/>
      <c r="AC284" s="595"/>
    </row>
    <row r="285" spans="1:29" ht="12.75" customHeight="1">
      <c r="A285" s="601"/>
      <c r="B285" s="602"/>
      <c r="C285" s="602"/>
      <c r="D285" s="602"/>
      <c r="E285" s="602"/>
      <c r="F285" s="602"/>
      <c r="G285" s="602"/>
      <c r="H285" s="602"/>
      <c r="I285" s="602"/>
      <c r="J285" s="602"/>
      <c r="K285" s="602"/>
      <c r="L285" s="603"/>
      <c r="M285" s="603"/>
      <c r="N285" s="603"/>
      <c r="O285" s="603"/>
      <c r="P285" s="603"/>
      <c r="Q285" s="595"/>
      <c r="R285" s="595"/>
      <c r="S285" s="595"/>
      <c r="T285" s="595"/>
      <c r="U285" s="595"/>
      <c r="V285" s="595"/>
      <c r="W285" s="594"/>
      <c r="X285" s="594"/>
      <c r="Y285" s="595"/>
      <c r="Z285" s="595"/>
      <c r="AA285" s="595"/>
      <c r="AB285" s="595"/>
      <c r="AC285" s="595"/>
    </row>
    <row r="286" spans="1:29" ht="12.75" customHeight="1">
      <c r="A286" s="601"/>
      <c r="B286" s="602"/>
      <c r="C286" s="602"/>
      <c r="D286" s="602"/>
      <c r="E286" s="602"/>
      <c r="F286" s="602"/>
      <c r="G286" s="602"/>
      <c r="H286" s="602"/>
      <c r="I286" s="602"/>
      <c r="J286" s="602"/>
      <c r="K286" s="602"/>
      <c r="L286" s="603"/>
      <c r="M286" s="603"/>
      <c r="N286" s="603"/>
      <c r="O286" s="603"/>
      <c r="P286" s="603"/>
      <c r="Q286" s="595"/>
      <c r="R286" s="595"/>
      <c r="S286" s="595"/>
      <c r="T286" s="595"/>
      <c r="U286" s="595"/>
      <c r="V286" s="595"/>
      <c r="W286" s="594"/>
      <c r="X286" s="594"/>
      <c r="Y286" s="595"/>
      <c r="Z286" s="595"/>
      <c r="AA286" s="595"/>
      <c r="AB286" s="595"/>
      <c r="AC286" s="595"/>
    </row>
    <row r="287" spans="1:29" ht="12.75" customHeight="1">
      <c r="A287" s="601"/>
      <c r="B287" s="602"/>
      <c r="C287" s="602"/>
      <c r="D287" s="602"/>
      <c r="E287" s="602"/>
      <c r="F287" s="602"/>
      <c r="G287" s="602"/>
      <c r="H287" s="602"/>
      <c r="I287" s="602"/>
      <c r="J287" s="602"/>
      <c r="K287" s="602"/>
      <c r="L287" s="603"/>
      <c r="M287" s="603"/>
      <c r="N287" s="603"/>
      <c r="O287" s="603"/>
      <c r="P287" s="603"/>
      <c r="Q287" s="595"/>
      <c r="R287" s="595"/>
      <c r="S287" s="595"/>
      <c r="T287" s="595"/>
      <c r="U287" s="595"/>
      <c r="V287" s="595"/>
      <c r="W287" s="594"/>
      <c r="X287" s="594"/>
      <c r="Y287" s="595"/>
      <c r="Z287" s="595"/>
      <c r="AA287" s="595"/>
      <c r="AB287" s="595"/>
      <c r="AC287" s="595"/>
    </row>
    <row r="288" spans="1:29" ht="12.75" customHeight="1">
      <c r="A288" s="601"/>
      <c r="B288" s="602"/>
      <c r="C288" s="602"/>
      <c r="D288" s="602"/>
      <c r="E288" s="602"/>
      <c r="F288" s="602"/>
      <c r="G288" s="602"/>
      <c r="H288" s="602"/>
      <c r="I288" s="602"/>
      <c r="J288" s="602"/>
      <c r="K288" s="602"/>
      <c r="L288" s="603"/>
      <c r="M288" s="603"/>
      <c r="N288" s="603"/>
      <c r="O288" s="603"/>
      <c r="P288" s="603"/>
      <c r="Q288" s="595"/>
      <c r="R288" s="595"/>
      <c r="S288" s="595"/>
      <c r="T288" s="595"/>
      <c r="U288" s="595"/>
      <c r="V288" s="595"/>
      <c r="W288" s="594"/>
      <c r="X288" s="594"/>
      <c r="Y288" s="595"/>
      <c r="Z288" s="595"/>
      <c r="AA288" s="595"/>
      <c r="AB288" s="595"/>
      <c r="AC288" s="595"/>
    </row>
    <row r="289" spans="1:29" ht="12.75" customHeight="1">
      <c r="A289" s="601"/>
      <c r="B289" s="602"/>
      <c r="C289" s="602"/>
      <c r="D289" s="602"/>
      <c r="E289" s="602"/>
      <c r="F289" s="602"/>
      <c r="G289" s="602"/>
      <c r="H289" s="602"/>
      <c r="I289" s="602"/>
      <c r="J289" s="602"/>
      <c r="K289" s="602"/>
      <c r="L289" s="603"/>
      <c r="M289" s="603"/>
      <c r="N289" s="603"/>
      <c r="O289" s="603"/>
      <c r="P289" s="603"/>
      <c r="Q289" s="595"/>
      <c r="R289" s="595"/>
      <c r="S289" s="595"/>
      <c r="T289" s="595"/>
      <c r="U289" s="595"/>
      <c r="V289" s="595"/>
      <c r="W289" s="594"/>
      <c r="X289" s="594"/>
      <c r="Y289" s="595"/>
      <c r="Z289" s="595"/>
      <c r="AA289" s="595"/>
      <c r="AB289" s="595"/>
      <c r="AC289" s="595"/>
    </row>
    <row r="290" spans="1:29" ht="12.75" customHeight="1">
      <c r="A290" s="601"/>
      <c r="B290" s="602"/>
      <c r="C290" s="602"/>
      <c r="D290" s="602"/>
      <c r="E290" s="602"/>
      <c r="F290" s="602"/>
      <c r="G290" s="602"/>
      <c r="H290" s="602"/>
      <c r="I290" s="602"/>
      <c r="J290" s="602"/>
      <c r="K290" s="602"/>
      <c r="L290" s="603"/>
      <c r="M290" s="603"/>
      <c r="N290" s="603"/>
      <c r="O290" s="603"/>
      <c r="P290" s="603"/>
      <c r="Q290" s="595"/>
      <c r="R290" s="595"/>
      <c r="S290" s="595"/>
      <c r="T290" s="595"/>
      <c r="U290" s="595"/>
      <c r="V290" s="595"/>
      <c r="W290" s="594"/>
      <c r="X290" s="594"/>
      <c r="Y290" s="595"/>
      <c r="Z290" s="595"/>
      <c r="AA290" s="595"/>
      <c r="AB290" s="595"/>
      <c r="AC290" s="595"/>
    </row>
    <row r="291" spans="1:29" ht="12.75" customHeight="1">
      <c r="A291" s="601"/>
      <c r="B291" s="602"/>
      <c r="C291" s="602"/>
      <c r="D291" s="602"/>
      <c r="E291" s="602"/>
      <c r="F291" s="602"/>
      <c r="G291" s="602"/>
      <c r="H291" s="602"/>
      <c r="I291" s="602"/>
      <c r="J291" s="602"/>
      <c r="K291" s="602"/>
      <c r="L291" s="603"/>
      <c r="M291" s="603"/>
      <c r="N291" s="603"/>
      <c r="O291" s="603"/>
      <c r="P291" s="603"/>
      <c r="Q291" s="595"/>
      <c r="R291" s="595"/>
      <c r="S291" s="595"/>
      <c r="T291" s="595"/>
      <c r="U291" s="595"/>
      <c r="V291" s="595"/>
      <c r="W291" s="594"/>
      <c r="X291" s="594"/>
      <c r="Y291" s="595"/>
      <c r="Z291" s="595"/>
      <c r="AA291" s="595"/>
      <c r="AB291" s="595"/>
      <c r="AC291" s="595"/>
    </row>
    <row r="292" spans="1:29" ht="12.75" customHeight="1">
      <c r="A292" s="601"/>
      <c r="B292" s="602"/>
      <c r="C292" s="602"/>
      <c r="D292" s="602"/>
      <c r="E292" s="602"/>
      <c r="F292" s="602"/>
      <c r="G292" s="602"/>
      <c r="H292" s="602"/>
      <c r="I292" s="602"/>
      <c r="J292" s="602"/>
      <c r="K292" s="602"/>
      <c r="L292" s="603"/>
      <c r="M292" s="603"/>
      <c r="N292" s="603"/>
      <c r="O292" s="603"/>
      <c r="P292" s="603"/>
      <c r="Q292" s="595"/>
      <c r="R292" s="595"/>
      <c r="S292" s="595"/>
      <c r="T292" s="595"/>
      <c r="U292" s="595"/>
      <c r="V292" s="595"/>
      <c r="W292" s="594"/>
      <c r="X292" s="594"/>
      <c r="Y292" s="595"/>
      <c r="Z292" s="595"/>
      <c r="AA292" s="595"/>
      <c r="AB292" s="595"/>
      <c r="AC292" s="595"/>
    </row>
    <row r="293" spans="1:29" ht="12.75" customHeight="1">
      <c r="A293" s="601"/>
      <c r="B293" s="602"/>
      <c r="C293" s="602"/>
      <c r="D293" s="602"/>
      <c r="E293" s="602"/>
      <c r="F293" s="602"/>
      <c r="G293" s="602"/>
      <c r="H293" s="602"/>
      <c r="I293" s="602"/>
      <c r="J293" s="602"/>
      <c r="K293" s="602"/>
      <c r="L293" s="603"/>
      <c r="M293" s="603"/>
      <c r="N293" s="603"/>
      <c r="O293" s="603"/>
      <c r="P293" s="603"/>
      <c r="Q293" s="595"/>
      <c r="R293" s="595"/>
      <c r="S293" s="595"/>
      <c r="T293" s="595"/>
      <c r="U293" s="595"/>
      <c r="V293" s="595"/>
      <c r="W293" s="594"/>
      <c r="X293" s="594"/>
      <c r="Y293" s="595"/>
      <c r="Z293" s="595"/>
      <c r="AA293" s="595"/>
      <c r="AB293" s="595"/>
      <c r="AC293" s="595"/>
    </row>
    <row r="294" spans="1:29" ht="12.75" customHeight="1">
      <c r="A294" s="601"/>
      <c r="B294" s="602"/>
      <c r="C294" s="602"/>
      <c r="D294" s="602"/>
      <c r="E294" s="602"/>
      <c r="F294" s="602"/>
      <c r="G294" s="602"/>
      <c r="H294" s="602"/>
      <c r="I294" s="602"/>
      <c r="J294" s="602"/>
      <c r="K294" s="602"/>
      <c r="L294" s="603"/>
      <c r="M294" s="603"/>
      <c r="N294" s="603"/>
      <c r="O294" s="603"/>
      <c r="P294" s="603"/>
      <c r="Q294" s="595"/>
      <c r="R294" s="595"/>
      <c r="S294" s="595"/>
      <c r="T294" s="595"/>
      <c r="U294" s="595"/>
      <c r="V294" s="595"/>
      <c r="W294" s="594"/>
      <c r="X294" s="594"/>
      <c r="Y294" s="595"/>
      <c r="Z294" s="595"/>
      <c r="AA294" s="595"/>
      <c r="AB294" s="595"/>
      <c r="AC294" s="595"/>
    </row>
    <row r="295" spans="1:29" ht="12.75" customHeight="1">
      <c r="A295" s="601"/>
      <c r="B295" s="602"/>
      <c r="C295" s="602"/>
      <c r="D295" s="602"/>
      <c r="E295" s="602"/>
      <c r="F295" s="602"/>
      <c r="G295" s="602"/>
      <c r="H295" s="602"/>
      <c r="I295" s="602"/>
      <c r="J295" s="602"/>
      <c r="K295" s="602"/>
      <c r="L295" s="603"/>
      <c r="M295" s="603"/>
      <c r="N295" s="603"/>
      <c r="O295" s="603"/>
      <c r="P295" s="603"/>
      <c r="Q295" s="595"/>
      <c r="R295" s="595"/>
      <c r="S295" s="595"/>
      <c r="T295" s="595"/>
      <c r="U295" s="595"/>
      <c r="V295" s="595"/>
      <c r="W295" s="594"/>
      <c r="X295" s="594"/>
      <c r="Y295" s="595"/>
      <c r="Z295" s="595"/>
      <c r="AA295" s="595"/>
      <c r="AB295" s="595"/>
      <c r="AC295" s="595"/>
    </row>
    <row r="296" spans="1:29" ht="12.75" customHeight="1">
      <c r="A296" s="601"/>
      <c r="B296" s="602"/>
      <c r="C296" s="602"/>
      <c r="D296" s="602"/>
      <c r="E296" s="602"/>
      <c r="F296" s="602"/>
      <c r="G296" s="602"/>
      <c r="H296" s="602"/>
      <c r="I296" s="602"/>
      <c r="J296" s="602"/>
      <c r="K296" s="602"/>
      <c r="L296" s="603"/>
      <c r="M296" s="603"/>
      <c r="N296" s="603"/>
      <c r="O296" s="603"/>
      <c r="P296" s="603"/>
      <c r="Q296" s="595"/>
      <c r="R296" s="595"/>
      <c r="S296" s="595"/>
      <c r="T296" s="595"/>
      <c r="U296" s="595"/>
      <c r="V296" s="595"/>
      <c r="W296" s="594"/>
      <c r="X296" s="594"/>
      <c r="Y296" s="595"/>
      <c r="Z296" s="595"/>
      <c r="AA296" s="595"/>
      <c r="AB296" s="595"/>
      <c r="AC296" s="595"/>
    </row>
    <row r="297" spans="1:29" ht="12.75" customHeight="1">
      <c r="A297" s="601"/>
      <c r="B297" s="602"/>
      <c r="C297" s="602"/>
      <c r="D297" s="602"/>
      <c r="E297" s="602"/>
      <c r="F297" s="602"/>
      <c r="G297" s="602"/>
      <c r="H297" s="602"/>
      <c r="I297" s="602"/>
      <c r="J297" s="602"/>
      <c r="K297" s="602"/>
      <c r="L297" s="603"/>
      <c r="M297" s="603"/>
      <c r="N297" s="603"/>
      <c r="O297" s="603"/>
      <c r="P297" s="603"/>
      <c r="Q297" s="595"/>
      <c r="R297" s="595"/>
      <c r="S297" s="595"/>
      <c r="T297" s="595"/>
      <c r="U297" s="595"/>
      <c r="V297" s="595"/>
      <c r="W297" s="594"/>
      <c r="X297" s="594"/>
      <c r="Y297" s="595"/>
      <c r="Z297" s="595"/>
      <c r="AA297" s="595"/>
      <c r="AB297" s="595"/>
      <c r="AC297" s="595"/>
    </row>
    <row r="298" spans="1:29" ht="12.75" customHeight="1">
      <c r="A298" s="601"/>
      <c r="B298" s="602"/>
      <c r="C298" s="602"/>
      <c r="D298" s="602"/>
      <c r="E298" s="602"/>
      <c r="F298" s="602"/>
      <c r="G298" s="602"/>
      <c r="H298" s="602"/>
      <c r="I298" s="602"/>
      <c r="J298" s="602"/>
      <c r="K298" s="602"/>
      <c r="L298" s="603"/>
      <c r="M298" s="603"/>
      <c r="N298" s="603"/>
      <c r="O298" s="603"/>
      <c r="P298" s="603"/>
      <c r="Q298" s="595"/>
      <c r="R298" s="595"/>
      <c r="S298" s="595"/>
      <c r="T298" s="595"/>
      <c r="U298" s="595"/>
      <c r="V298" s="595"/>
      <c r="W298" s="594"/>
      <c r="X298" s="594"/>
      <c r="Y298" s="595"/>
      <c r="Z298" s="595"/>
      <c r="AA298" s="595"/>
      <c r="AB298" s="595"/>
      <c r="AC298" s="595"/>
    </row>
    <row r="299" spans="1:29" ht="12.75" customHeight="1">
      <c r="A299" s="601"/>
      <c r="B299" s="602"/>
      <c r="C299" s="602"/>
      <c r="D299" s="602"/>
      <c r="E299" s="602"/>
      <c r="F299" s="602"/>
      <c r="G299" s="602"/>
      <c r="H299" s="602"/>
      <c r="I299" s="602"/>
      <c r="J299" s="602"/>
      <c r="K299" s="602"/>
      <c r="L299" s="603"/>
      <c r="M299" s="603"/>
      <c r="N299" s="603"/>
      <c r="O299" s="603"/>
      <c r="P299" s="603"/>
      <c r="Q299" s="595"/>
      <c r="R299" s="595"/>
      <c r="S299" s="595"/>
      <c r="T299" s="595"/>
      <c r="U299" s="595"/>
      <c r="V299" s="595"/>
      <c r="W299" s="594"/>
      <c r="X299" s="594"/>
      <c r="Y299" s="595"/>
      <c r="Z299" s="595"/>
      <c r="AA299" s="595"/>
      <c r="AB299" s="595"/>
      <c r="AC299" s="595"/>
    </row>
    <row r="300" spans="1:29" ht="12.75" customHeight="1">
      <c r="A300" s="601"/>
      <c r="B300" s="602"/>
      <c r="C300" s="602"/>
      <c r="D300" s="602"/>
      <c r="E300" s="602"/>
      <c r="F300" s="602"/>
      <c r="G300" s="602"/>
      <c r="H300" s="602"/>
      <c r="I300" s="602"/>
      <c r="J300" s="602"/>
      <c r="K300" s="602"/>
      <c r="L300" s="603"/>
      <c r="M300" s="603"/>
      <c r="N300" s="603"/>
      <c r="O300" s="603"/>
      <c r="P300" s="603"/>
      <c r="Q300" s="595"/>
      <c r="R300" s="595"/>
      <c r="S300" s="595"/>
      <c r="T300" s="595"/>
      <c r="U300" s="595"/>
      <c r="V300" s="595"/>
      <c r="W300" s="594"/>
      <c r="X300" s="594"/>
      <c r="Y300" s="595"/>
      <c r="Z300" s="595"/>
      <c r="AA300" s="595"/>
      <c r="AB300" s="595"/>
      <c r="AC300" s="595"/>
    </row>
    <row r="301" spans="1:29" ht="12.75" customHeight="1">
      <c r="A301" s="601"/>
      <c r="B301" s="602"/>
      <c r="C301" s="602"/>
      <c r="D301" s="602"/>
      <c r="E301" s="602"/>
      <c r="F301" s="602"/>
      <c r="G301" s="602"/>
      <c r="H301" s="602"/>
      <c r="I301" s="602"/>
      <c r="J301" s="602"/>
      <c r="K301" s="602"/>
      <c r="L301" s="603"/>
      <c r="M301" s="603"/>
      <c r="N301" s="603"/>
      <c r="O301" s="603"/>
      <c r="P301" s="603"/>
      <c r="Q301" s="595"/>
      <c r="R301" s="595"/>
      <c r="S301" s="595"/>
      <c r="T301" s="595"/>
      <c r="U301" s="595"/>
      <c r="V301" s="595"/>
      <c r="W301" s="594"/>
      <c r="X301" s="594"/>
      <c r="Y301" s="595"/>
      <c r="Z301" s="595"/>
      <c r="AA301" s="595"/>
      <c r="AB301" s="595"/>
      <c r="AC301" s="595"/>
    </row>
    <row r="302" spans="1:29" ht="12.75" customHeight="1">
      <c r="A302" s="601"/>
      <c r="B302" s="602"/>
      <c r="C302" s="602"/>
      <c r="D302" s="602"/>
      <c r="E302" s="602"/>
      <c r="F302" s="602"/>
      <c r="G302" s="602"/>
      <c r="H302" s="602"/>
      <c r="I302" s="602"/>
      <c r="J302" s="602"/>
      <c r="K302" s="602"/>
      <c r="L302" s="603"/>
      <c r="M302" s="603"/>
      <c r="N302" s="603"/>
      <c r="O302" s="603"/>
      <c r="P302" s="603"/>
      <c r="Q302" s="595"/>
      <c r="R302" s="595"/>
      <c r="S302" s="595"/>
      <c r="T302" s="595"/>
      <c r="U302" s="595"/>
      <c r="V302" s="595"/>
      <c r="W302" s="594"/>
      <c r="X302" s="594"/>
      <c r="Y302" s="595"/>
      <c r="Z302" s="595"/>
      <c r="AA302" s="595"/>
      <c r="AB302" s="595"/>
      <c r="AC302" s="595"/>
    </row>
    <row r="303" spans="1:29" ht="12.75" customHeight="1">
      <c r="A303" s="601"/>
      <c r="B303" s="602"/>
      <c r="C303" s="602"/>
      <c r="D303" s="602"/>
      <c r="E303" s="602"/>
      <c r="F303" s="602"/>
      <c r="G303" s="602"/>
      <c r="H303" s="602"/>
      <c r="I303" s="602"/>
      <c r="J303" s="602"/>
      <c r="K303" s="602"/>
      <c r="L303" s="603"/>
      <c r="M303" s="603"/>
      <c r="N303" s="603"/>
      <c r="O303" s="603"/>
      <c r="P303" s="603"/>
      <c r="Q303" s="595"/>
      <c r="R303" s="595"/>
      <c r="S303" s="595"/>
      <c r="T303" s="595"/>
      <c r="U303" s="595"/>
      <c r="V303" s="595"/>
      <c r="W303" s="594"/>
      <c r="X303" s="594"/>
      <c r="Y303" s="595"/>
      <c r="Z303" s="595"/>
      <c r="AA303" s="595"/>
      <c r="AB303" s="595"/>
      <c r="AC303" s="595"/>
    </row>
    <row r="304" spans="1:29" ht="12.75" customHeight="1">
      <c r="A304" s="601"/>
      <c r="B304" s="602"/>
      <c r="C304" s="602"/>
      <c r="D304" s="602"/>
      <c r="E304" s="602"/>
      <c r="F304" s="602"/>
      <c r="G304" s="602"/>
      <c r="H304" s="602"/>
      <c r="I304" s="602"/>
      <c r="J304" s="602"/>
      <c r="K304" s="602"/>
      <c r="L304" s="603"/>
      <c r="M304" s="603"/>
      <c r="N304" s="603"/>
      <c r="O304" s="603"/>
      <c r="P304" s="603"/>
      <c r="Q304" s="595"/>
      <c r="R304" s="595"/>
      <c r="S304" s="595"/>
      <c r="T304" s="595"/>
      <c r="U304" s="595"/>
      <c r="V304" s="595"/>
      <c r="W304" s="594"/>
      <c r="X304" s="594"/>
      <c r="Y304" s="595"/>
      <c r="Z304" s="595"/>
      <c r="AA304" s="595"/>
      <c r="AB304" s="595"/>
      <c r="AC304" s="595"/>
    </row>
    <row r="305" spans="1:29" ht="12.75" customHeight="1">
      <c r="A305" s="601"/>
      <c r="B305" s="602"/>
      <c r="C305" s="602"/>
      <c r="D305" s="602"/>
      <c r="E305" s="602"/>
      <c r="F305" s="602"/>
      <c r="G305" s="602"/>
      <c r="H305" s="602"/>
      <c r="I305" s="602"/>
      <c r="J305" s="602"/>
      <c r="K305" s="602"/>
      <c r="L305" s="603"/>
      <c r="M305" s="603"/>
      <c r="N305" s="603"/>
      <c r="O305" s="603"/>
      <c r="P305" s="603"/>
      <c r="Q305" s="595"/>
      <c r="R305" s="595"/>
      <c r="S305" s="595"/>
      <c r="T305" s="595"/>
      <c r="U305" s="595"/>
      <c r="V305" s="595"/>
      <c r="W305" s="594"/>
      <c r="X305" s="594"/>
      <c r="Y305" s="595"/>
      <c r="Z305" s="595"/>
      <c r="AA305" s="595"/>
      <c r="AB305" s="595"/>
      <c r="AC305" s="595"/>
    </row>
    <row r="306" spans="1:29" ht="12.75" customHeight="1">
      <c r="A306" s="601"/>
      <c r="B306" s="602"/>
      <c r="C306" s="602"/>
      <c r="D306" s="602"/>
      <c r="E306" s="602"/>
      <c r="F306" s="602"/>
      <c r="G306" s="602"/>
      <c r="H306" s="602"/>
      <c r="I306" s="602"/>
      <c r="J306" s="602"/>
      <c r="K306" s="602"/>
      <c r="L306" s="603"/>
      <c r="M306" s="603"/>
      <c r="N306" s="603"/>
      <c r="O306" s="603"/>
      <c r="P306" s="603"/>
      <c r="Q306" s="595"/>
      <c r="R306" s="595"/>
      <c r="S306" s="595"/>
      <c r="T306" s="595"/>
      <c r="U306" s="595"/>
      <c r="V306" s="595"/>
      <c r="W306" s="594"/>
      <c r="X306" s="594"/>
      <c r="Y306" s="595"/>
      <c r="Z306" s="595"/>
      <c r="AA306" s="595"/>
      <c r="AB306" s="595"/>
      <c r="AC306" s="595"/>
    </row>
    <row r="307" spans="1:29" ht="12.75" customHeight="1">
      <c r="A307" s="601"/>
      <c r="B307" s="602"/>
      <c r="C307" s="602"/>
      <c r="D307" s="602"/>
      <c r="E307" s="602"/>
      <c r="F307" s="602"/>
      <c r="G307" s="602"/>
      <c r="H307" s="602"/>
      <c r="I307" s="602"/>
      <c r="J307" s="602"/>
      <c r="K307" s="602"/>
      <c r="L307" s="603"/>
      <c r="M307" s="603"/>
      <c r="N307" s="603"/>
      <c r="O307" s="603"/>
      <c r="P307" s="603"/>
      <c r="Q307" s="595"/>
      <c r="R307" s="595"/>
      <c r="S307" s="595"/>
      <c r="T307" s="595"/>
      <c r="U307" s="595"/>
      <c r="V307" s="595"/>
      <c r="W307" s="594"/>
      <c r="X307" s="594"/>
      <c r="Y307" s="595"/>
      <c r="Z307" s="595"/>
      <c r="AA307" s="595"/>
      <c r="AB307" s="595"/>
      <c r="AC307" s="595"/>
    </row>
    <row r="308" spans="1:29" ht="12.75" customHeight="1">
      <c r="A308" s="601"/>
      <c r="B308" s="602"/>
      <c r="C308" s="602"/>
      <c r="D308" s="602"/>
      <c r="E308" s="602"/>
      <c r="F308" s="602"/>
      <c r="G308" s="602"/>
      <c r="H308" s="602"/>
      <c r="I308" s="602"/>
      <c r="J308" s="602"/>
      <c r="K308" s="602"/>
      <c r="L308" s="603"/>
      <c r="M308" s="603"/>
      <c r="N308" s="603"/>
      <c r="O308" s="603"/>
      <c r="P308" s="603"/>
      <c r="Q308" s="595"/>
      <c r="R308" s="595"/>
      <c r="S308" s="595"/>
      <c r="T308" s="595"/>
      <c r="U308" s="595"/>
      <c r="V308" s="595"/>
      <c r="W308" s="594"/>
      <c r="X308" s="594"/>
      <c r="Y308" s="595"/>
      <c r="Z308" s="595"/>
      <c r="AA308" s="595"/>
      <c r="AB308" s="595"/>
      <c r="AC308" s="595"/>
    </row>
    <row r="309" spans="1:29" ht="12.75" customHeight="1">
      <c r="A309" s="601"/>
      <c r="B309" s="602"/>
      <c r="C309" s="602"/>
      <c r="D309" s="602"/>
      <c r="E309" s="602"/>
      <c r="F309" s="602"/>
      <c r="G309" s="602"/>
      <c r="H309" s="602"/>
      <c r="I309" s="602"/>
      <c r="J309" s="602"/>
      <c r="K309" s="602"/>
      <c r="L309" s="603"/>
      <c r="M309" s="603"/>
      <c r="N309" s="603"/>
      <c r="O309" s="603"/>
      <c r="P309" s="603"/>
      <c r="Q309" s="595"/>
      <c r="R309" s="595"/>
      <c r="S309" s="595"/>
      <c r="T309" s="595"/>
      <c r="U309" s="595"/>
      <c r="V309" s="595"/>
      <c r="W309" s="594"/>
      <c r="X309" s="594"/>
      <c r="Y309" s="595"/>
      <c r="Z309" s="595"/>
      <c r="AA309" s="595"/>
      <c r="AB309" s="595"/>
      <c r="AC309" s="595"/>
    </row>
    <row r="310" spans="1:29" ht="12.75" customHeight="1">
      <c r="A310" s="601"/>
      <c r="B310" s="602"/>
      <c r="C310" s="602"/>
      <c r="D310" s="602"/>
      <c r="E310" s="602"/>
      <c r="F310" s="602"/>
      <c r="G310" s="602"/>
      <c r="H310" s="602"/>
      <c r="I310" s="602"/>
      <c r="J310" s="602"/>
      <c r="K310" s="602"/>
      <c r="L310" s="603"/>
      <c r="M310" s="603"/>
      <c r="N310" s="603"/>
      <c r="O310" s="603"/>
      <c r="P310" s="603"/>
      <c r="Q310" s="595"/>
      <c r="R310" s="595"/>
      <c r="S310" s="595"/>
      <c r="T310" s="595"/>
      <c r="U310" s="595"/>
      <c r="V310" s="595"/>
      <c r="W310" s="594"/>
      <c r="X310" s="594"/>
      <c r="Y310" s="595"/>
      <c r="Z310" s="595"/>
      <c r="AA310" s="595"/>
      <c r="AB310" s="595"/>
      <c r="AC310" s="595"/>
    </row>
    <row r="311" spans="1:29" ht="12.75" customHeight="1">
      <c r="A311" s="601"/>
      <c r="B311" s="602"/>
      <c r="C311" s="602"/>
      <c r="D311" s="602"/>
      <c r="E311" s="602"/>
      <c r="F311" s="602"/>
      <c r="G311" s="602"/>
      <c r="H311" s="602"/>
      <c r="I311" s="602"/>
      <c r="J311" s="602"/>
      <c r="K311" s="602"/>
      <c r="L311" s="603"/>
      <c r="M311" s="603"/>
      <c r="N311" s="603"/>
      <c r="O311" s="603"/>
      <c r="P311" s="603"/>
      <c r="Q311" s="595"/>
      <c r="R311" s="595"/>
      <c r="S311" s="595"/>
      <c r="T311" s="595"/>
      <c r="U311" s="595"/>
      <c r="V311" s="595"/>
      <c r="W311" s="594"/>
      <c r="X311" s="594"/>
      <c r="Y311" s="595"/>
      <c r="Z311" s="595"/>
      <c r="AA311" s="595"/>
      <c r="AB311" s="595"/>
      <c r="AC311" s="595"/>
    </row>
    <row r="312" spans="1:29" ht="12.75" customHeight="1">
      <c r="A312" s="601"/>
      <c r="B312" s="602"/>
      <c r="C312" s="602"/>
      <c r="D312" s="602"/>
      <c r="E312" s="602"/>
      <c r="F312" s="602"/>
      <c r="G312" s="602"/>
      <c r="H312" s="602"/>
      <c r="I312" s="602"/>
      <c r="J312" s="602"/>
      <c r="K312" s="602"/>
      <c r="L312" s="603"/>
      <c r="M312" s="603"/>
      <c r="N312" s="603"/>
      <c r="O312" s="603"/>
      <c r="P312" s="603"/>
      <c r="Q312" s="595"/>
      <c r="R312" s="595"/>
      <c r="S312" s="595"/>
      <c r="T312" s="595"/>
      <c r="U312" s="595"/>
      <c r="V312" s="595"/>
      <c r="W312" s="594"/>
      <c r="X312" s="594"/>
      <c r="Y312" s="595"/>
      <c r="Z312" s="595"/>
      <c r="AA312" s="595"/>
      <c r="AB312" s="595"/>
      <c r="AC312" s="595"/>
    </row>
    <row r="313" spans="1:29" ht="12.75" customHeight="1">
      <c r="A313" s="601"/>
      <c r="B313" s="602"/>
      <c r="C313" s="602"/>
      <c r="D313" s="602"/>
      <c r="E313" s="602"/>
      <c r="F313" s="602"/>
      <c r="G313" s="602"/>
      <c r="H313" s="602"/>
      <c r="I313" s="602"/>
      <c r="J313" s="602"/>
      <c r="K313" s="602"/>
      <c r="L313" s="603"/>
      <c r="M313" s="603"/>
      <c r="N313" s="603"/>
      <c r="O313" s="603"/>
      <c r="P313" s="603"/>
      <c r="Q313" s="595"/>
      <c r="R313" s="595"/>
      <c r="S313" s="595"/>
      <c r="T313" s="595"/>
      <c r="U313" s="595"/>
      <c r="V313" s="595"/>
      <c r="W313" s="594"/>
      <c r="X313" s="594"/>
      <c r="Y313" s="595"/>
      <c r="Z313" s="595"/>
      <c r="AA313" s="595"/>
      <c r="AB313" s="595"/>
      <c r="AC313" s="595"/>
    </row>
    <row r="314" spans="1:29" ht="12.75" customHeight="1">
      <c r="A314" s="601"/>
      <c r="B314" s="602"/>
      <c r="C314" s="602"/>
      <c r="D314" s="602"/>
      <c r="E314" s="602"/>
      <c r="F314" s="602"/>
      <c r="G314" s="602"/>
      <c r="H314" s="602"/>
      <c r="I314" s="602"/>
      <c r="J314" s="602"/>
      <c r="K314" s="602"/>
      <c r="L314" s="603"/>
      <c r="M314" s="603"/>
      <c r="N314" s="603"/>
      <c r="O314" s="603"/>
      <c r="P314" s="603"/>
      <c r="Q314" s="595"/>
      <c r="R314" s="595"/>
      <c r="S314" s="595"/>
      <c r="T314" s="595"/>
      <c r="U314" s="595"/>
      <c r="V314" s="595"/>
      <c r="W314" s="594"/>
      <c r="X314" s="594"/>
      <c r="Y314" s="595"/>
      <c r="Z314" s="595"/>
      <c r="AA314" s="595"/>
      <c r="AB314" s="595"/>
      <c r="AC314" s="595"/>
    </row>
    <row r="315" spans="1:29" ht="12.75" customHeight="1">
      <c r="A315" s="601"/>
      <c r="B315" s="602"/>
      <c r="C315" s="602"/>
      <c r="D315" s="602"/>
      <c r="E315" s="602"/>
      <c r="F315" s="602"/>
      <c r="G315" s="602"/>
      <c r="H315" s="602"/>
      <c r="I315" s="602"/>
      <c r="J315" s="602"/>
      <c r="K315" s="602"/>
      <c r="L315" s="603"/>
      <c r="M315" s="603"/>
      <c r="N315" s="603"/>
      <c r="O315" s="603"/>
      <c r="P315" s="603"/>
      <c r="Q315" s="595"/>
      <c r="R315" s="595"/>
      <c r="S315" s="595"/>
      <c r="T315" s="595"/>
      <c r="U315" s="595"/>
      <c r="V315" s="595"/>
      <c r="W315" s="594"/>
      <c r="X315" s="594"/>
      <c r="Y315" s="595"/>
      <c r="Z315" s="595"/>
      <c r="AA315" s="595"/>
      <c r="AB315" s="595"/>
      <c r="AC315" s="595"/>
    </row>
    <row r="316" spans="1:29" ht="12.75" customHeight="1">
      <c r="A316" s="601"/>
      <c r="B316" s="602"/>
      <c r="C316" s="602"/>
      <c r="D316" s="602"/>
      <c r="E316" s="602"/>
      <c r="F316" s="602"/>
      <c r="G316" s="602"/>
      <c r="H316" s="602"/>
      <c r="I316" s="602"/>
      <c r="J316" s="602"/>
      <c r="K316" s="602"/>
      <c r="L316" s="603"/>
      <c r="M316" s="603"/>
      <c r="N316" s="603"/>
      <c r="O316" s="603"/>
      <c r="P316" s="603"/>
      <c r="Q316" s="595"/>
      <c r="R316" s="595"/>
      <c r="S316" s="595"/>
      <c r="T316" s="595"/>
      <c r="U316" s="595"/>
      <c r="V316" s="595"/>
      <c r="W316" s="594"/>
      <c r="X316" s="594"/>
      <c r="Y316" s="595"/>
      <c r="Z316" s="595"/>
      <c r="AA316" s="595"/>
      <c r="AB316" s="595"/>
      <c r="AC316" s="595"/>
    </row>
    <row r="317" spans="1:29" ht="12.75" customHeight="1">
      <c r="A317" s="601"/>
      <c r="B317" s="602"/>
      <c r="C317" s="602"/>
      <c r="D317" s="602"/>
      <c r="E317" s="602"/>
      <c r="F317" s="602"/>
      <c r="G317" s="602"/>
      <c r="H317" s="602"/>
      <c r="I317" s="602"/>
      <c r="J317" s="602"/>
      <c r="K317" s="602"/>
      <c r="L317" s="603"/>
      <c r="M317" s="603"/>
      <c r="N317" s="603"/>
      <c r="O317" s="603"/>
      <c r="P317" s="603"/>
      <c r="Q317" s="595"/>
      <c r="R317" s="595"/>
      <c r="S317" s="595"/>
      <c r="T317" s="595"/>
      <c r="U317" s="595"/>
      <c r="V317" s="595"/>
      <c r="W317" s="594"/>
      <c r="X317" s="594"/>
      <c r="Y317" s="595"/>
      <c r="Z317" s="595"/>
      <c r="AA317" s="595"/>
      <c r="AB317" s="595"/>
      <c r="AC317" s="595"/>
    </row>
    <row r="318" spans="1:29" ht="12.75" customHeight="1">
      <c r="A318" s="601"/>
      <c r="B318" s="602"/>
      <c r="C318" s="602"/>
      <c r="D318" s="602"/>
      <c r="E318" s="602"/>
      <c r="F318" s="602"/>
      <c r="G318" s="602"/>
      <c r="H318" s="602"/>
      <c r="I318" s="602"/>
      <c r="J318" s="602"/>
      <c r="K318" s="602"/>
      <c r="L318" s="603"/>
      <c r="M318" s="603"/>
      <c r="N318" s="603"/>
      <c r="O318" s="603"/>
      <c r="P318" s="603"/>
      <c r="Q318" s="595"/>
      <c r="R318" s="595"/>
      <c r="S318" s="595"/>
      <c r="T318" s="595"/>
      <c r="U318" s="595"/>
      <c r="V318" s="595"/>
      <c r="W318" s="594"/>
      <c r="X318" s="594"/>
      <c r="Y318" s="595"/>
      <c r="Z318" s="595"/>
      <c r="AA318" s="595"/>
      <c r="AB318" s="595"/>
      <c r="AC318" s="595"/>
    </row>
    <row r="319" spans="1:29" ht="12.75" customHeight="1">
      <c r="A319" s="601"/>
      <c r="B319" s="602"/>
      <c r="C319" s="602"/>
      <c r="D319" s="602"/>
      <c r="E319" s="602"/>
      <c r="F319" s="602"/>
      <c r="G319" s="602"/>
      <c r="H319" s="602"/>
      <c r="I319" s="602"/>
      <c r="J319" s="602"/>
      <c r="K319" s="602"/>
      <c r="L319" s="603"/>
      <c r="M319" s="603"/>
      <c r="N319" s="603"/>
      <c r="O319" s="603"/>
      <c r="P319" s="603"/>
      <c r="Q319" s="595"/>
      <c r="R319" s="595"/>
      <c r="S319" s="595"/>
      <c r="T319" s="595"/>
      <c r="U319" s="595"/>
      <c r="V319" s="595"/>
      <c r="W319" s="594"/>
      <c r="X319" s="594"/>
      <c r="Y319" s="595"/>
      <c r="Z319" s="595"/>
      <c r="AA319" s="595"/>
      <c r="AB319" s="595"/>
      <c r="AC319" s="595"/>
    </row>
    <row r="320" spans="1:29" ht="12.75" customHeight="1">
      <c r="A320" s="601"/>
      <c r="B320" s="602"/>
      <c r="C320" s="602"/>
      <c r="D320" s="602"/>
      <c r="E320" s="602"/>
      <c r="F320" s="602"/>
      <c r="G320" s="602"/>
      <c r="H320" s="602"/>
      <c r="I320" s="602"/>
      <c r="J320" s="602"/>
      <c r="K320" s="602"/>
      <c r="L320" s="603"/>
      <c r="M320" s="603"/>
      <c r="N320" s="603"/>
      <c r="O320" s="603"/>
      <c r="P320" s="603"/>
      <c r="Q320" s="595"/>
      <c r="R320" s="595"/>
      <c r="S320" s="595"/>
      <c r="T320" s="595"/>
      <c r="U320" s="595"/>
      <c r="V320" s="595"/>
      <c r="W320" s="594"/>
      <c r="X320" s="594"/>
      <c r="Y320" s="595"/>
      <c r="Z320" s="595"/>
      <c r="AA320" s="595"/>
      <c r="AB320" s="595"/>
      <c r="AC320" s="595"/>
    </row>
    <row r="321" spans="1:29" ht="12.75" customHeight="1">
      <c r="A321" s="601"/>
      <c r="B321" s="602"/>
      <c r="C321" s="602"/>
      <c r="D321" s="602"/>
      <c r="E321" s="602"/>
      <c r="F321" s="602"/>
      <c r="G321" s="602"/>
      <c r="H321" s="602"/>
      <c r="I321" s="602"/>
      <c r="J321" s="602"/>
      <c r="K321" s="602"/>
      <c r="L321" s="603"/>
      <c r="M321" s="603"/>
      <c r="N321" s="603"/>
      <c r="O321" s="603"/>
      <c r="P321" s="603"/>
      <c r="Q321" s="595"/>
      <c r="R321" s="595"/>
      <c r="S321" s="595"/>
      <c r="T321" s="595"/>
      <c r="U321" s="595"/>
      <c r="V321" s="595"/>
      <c r="W321" s="594"/>
      <c r="X321" s="594"/>
      <c r="Y321" s="595"/>
      <c r="Z321" s="595"/>
      <c r="AA321" s="595"/>
      <c r="AB321" s="595"/>
      <c r="AC321" s="595"/>
    </row>
    <row r="322" spans="1:29" ht="12.75" customHeight="1">
      <c r="A322" s="601"/>
      <c r="B322" s="602"/>
      <c r="C322" s="602"/>
      <c r="D322" s="602"/>
      <c r="E322" s="602"/>
      <c r="F322" s="602"/>
      <c r="G322" s="602"/>
      <c r="H322" s="602"/>
      <c r="I322" s="602"/>
      <c r="J322" s="602"/>
      <c r="K322" s="602"/>
      <c r="L322" s="603"/>
      <c r="M322" s="603"/>
      <c r="N322" s="603"/>
      <c r="O322" s="603"/>
      <c r="P322" s="603"/>
      <c r="Q322" s="595"/>
      <c r="R322" s="595"/>
      <c r="S322" s="595"/>
      <c r="T322" s="595"/>
      <c r="U322" s="595"/>
      <c r="V322" s="595"/>
      <c r="W322" s="594"/>
      <c r="X322" s="594"/>
      <c r="Y322" s="595"/>
      <c r="Z322" s="595"/>
      <c r="AA322" s="595"/>
      <c r="AB322" s="595"/>
      <c r="AC322" s="595"/>
    </row>
    <row r="323" spans="1:29" ht="12.75" customHeight="1">
      <c r="A323" s="601"/>
      <c r="B323" s="602"/>
      <c r="C323" s="602"/>
      <c r="D323" s="602"/>
      <c r="E323" s="602"/>
      <c r="F323" s="602"/>
      <c r="G323" s="602"/>
      <c r="H323" s="602"/>
      <c r="I323" s="602"/>
      <c r="J323" s="602"/>
      <c r="K323" s="602"/>
      <c r="L323" s="603"/>
      <c r="M323" s="603"/>
      <c r="N323" s="603"/>
      <c r="O323" s="603"/>
      <c r="P323" s="603"/>
      <c r="Q323" s="595"/>
      <c r="R323" s="595"/>
      <c r="S323" s="595"/>
      <c r="T323" s="595"/>
      <c r="U323" s="595"/>
      <c r="V323" s="595"/>
      <c r="W323" s="594"/>
      <c r="X323" s="594"/>
      <c r="Y323" s="595"/>
      <c r="Z323" s="595"/>
      <c r="AA323" s="595"/>
      <c r="AB323" s="595"/>
      <c r="AC323" s="595"/>
    </row>
    <row r="324" spans="1:29" ht="12.75" customHeight="1">
      <c r="A324" s="601"/>
      <c r="B324" s="602"/>
      <c r="C324" s="602"/>
      <c r="D324" s="602"/>
      <c r="E324" s="602"/>
      <c r="F324" s="602"/>
      <c r="G324" s="602"/>
      <c r="H324" s="602"/>
      <c r="I324" s="602"/>
      <c r="J324" s="602"/>
      <c r="K324" s="602"/>
      <c r="L324" s="603"/>
      <c r="M324" s="603"/>
      <c r="N324" s="603"/>
      <c r="O324" s="603"/>
      <c r="P324" s="603"/>
      <c r="Q324" s="595"/>
      <c r="R324" s="595"/>
      <c r="S324" s="595"/>
      <c r="T324" s="595"/>
      <c r="U324" s="595"/>
      <c r="V324" s="595"/>
      <c r="W324" s="594"/>
      <c r="X324" s="594"/>
      <c r="Y324" s="595"/>
      <c r="Z324" s="595"/>
      <c r="AA324" s="595"/>
      <c r="AB324" s="595"/>
      <c r="AC324" s="595"/>
    </row>
    <row r="325" spans="1:29" ht="12.75" customHeight="1">
      <c r="A325" s="601"/>
      <c r="B325" s="602"/>
      <c r="C325" s="602"/>
      <c r="D325" s="602"/>
      <c r="E325" s="602"/>
      <c r="F325" s="602"/>
      <c r="G325" s="602"/>
      <c r="H325" s="602"/>
      <c r="I325" s="602"/>
      <c r="J325" s="602"/>
      <c r="K325" s="602"/>
      <c r="L325" s="603"/>
      <c r="M325" s="603"/>
      <c r="N325" s="603"/>
      <c r="O325" s="603"/>
      <c r="P325" s="603"/>
      <c r="Q325" s="595"/>
      <c r="R325" s="595"/>
      <c r="S325" s="595"/>
      <c r="T325" s="595"/>
      <c r="U325" s="595"/>
      <c r="V325" s="595"/>
      <c r="W325" s="594"/>
      <c r="X325" s="594"/>
      <c r="Y325" s="595"/>
      <c r="Z325" s="595"/>
      <c r="AA325" s="595"/>
      <c r="AB325" s="595"/>
      <c r="AC325" s="595"/>
    </row>
    <row r="326" spans="1:29" ht="12.75" customHeight="1">
      <c r="A326" s="601"/>
      <c r="B326" s="602"/>
      <c r="C326" s="602"/>
      <c r="D326" s="602"/>
      <c r="E326" s="602"/>
      <c r="F326" s="602"/>
      <c r="G326" s="602"/>
      <c r="H326" s="602"/>
      <c r="I326" s="602"/>
      <c r="J326" s="602"/>
      <c r="K326" s="602"/>
      <c r="L326" s="603"/>
      <c r="M326" s="603"/>
      <c r="N326" s="603"/>
      <c r="O326" s="603"/>
      <c r="P326" s="603"/>
      <c r="Q326" s="595"/>
      <c r="R326" s="595"/>
      <c r="S326" s="595"/>
      <c r="T326" s="595"/>
      <c r="U326" s="595"/>
      <c r="V326" s="595"/>
      <c r="W326" s="594"/>
      <c r="X326" s="594"/>
      <c r="Y326" s="595"/>
      <c r="Z326" s="595"/>
      <c r="AA326" s="595"/>
      <c r="AB326" s="595"/>
      <c r="AC326" s="595"/>
    </row>
    <row r="327" spans="1:29" ht="12.75" customHeight="1">
      <c r="A327" s="601"/>
      <c r="B327" s="602"/>
      <c r="C327" s="602"/>
      <c r="D327" s="602"/>
      <c r="E327" s="602"/>
      <c r="F327" s="602"/>
      <c r="G327" s="602"/>
      <c r="H327" s="602"/>
      <c r="I327" s="602"/>
      <c r="J327" s="602"/>
      <c r="K327" s="602"/>
      <c r="L327" s="603"/>
      <c r="M327" s="603"/>
      <c r="N327" s="603"/>
      <c r="O327" s="603"/>
      <c r="P327" s="603"/>
      <c r="Q327" s="595"/>
      <c r="R327" s="595"/>
      <c r="S327" s="595"/>
      <c r="T327" s="595"/>
      <c r="U327" s="595"/>
      <c r="V327" s="595"/>
      <c r="W327" s="594"/>
      <c r="X327" s="594"/>
      <c r="Y327" s="595"/>
      <c r="Z327" s="595"/>
      <c r="AA327" s="595"/>
      <c r="AB327" s="595"/>
      <c r="AC327" s="595"/>
    </row>
    <row r="328" spans="1:29" ht="12.75" customHeight="1">
      <c r="A328" s="601"/>
      <c r="B328" s="602"/>
      <c r="C328" s="602"/>
      <c r="D328" s="602"/>
      <c r="E328" s="602"/>
      <c r="F328" s="602"/>
      <c r="G328" s="602"/>
      <c r="H328" s="602"/>
      <c r="I328" s="602"/>
      <c r="J328" s="602"/>
      <c r="K328" s="602"/>
      <c r="L328" s="603"/>
      <c r="M328" s="603"/>
      <c r="N328" s="603"/>
      <c r="O328" s="603"/>
      <c r="P328" s="603"/>
      <c r="Q328" s="595"/>
      <c r="R328" s="595"/>
      <c r="S328" s="595"/>
      <c r="T328" s="595"/>
      <c r="U328" s="595"/>
      <c r="V328" s="595"/>
      <c r="W328" s="594"/>
      <c r="X328" s="594"/>
      <c r="Y328" s="595"/>
      <c r="Z328" s="595"/>
      <c r="AA328" s="595"/>
      <c r="AB328" s="595"/>
      <c r="AC328" s="595"/>
    </row>
    <row r="329" spans="1:29" ht="12.75" customHeight="1">
      <c r="A329" s="601"/>
      <c r="B329" s="602"/>
      <c r="C329" s="602"/>
      <c r="D329" s="602"/>
      <c r="E329" s="602"/>
      <c r="F329" s="602"/>
      <c r="G329" s="602"/>
      <c r="H329" s="602"/>
      <c r="I329" s="602"/>
      <c r="J329" s="602"/>
      <c r="K329" s="602"/>
      <c r="L329" s="603"/>
      <c r="M329" s="603"/>
      <c r="N329" s="603"/>
      <c r="O329" s="603"/>
      <c r="P329" s="603"/>
      <c r="Q329" s="595"/>
      <c r="R329" s="595"/>
      <c r="S329" s="595"/>
      <c r="T329" s="595"/>
      <c r="U329" s="595"/>
      <c r="V329" s="595"/>
      <c r="W329" s="594"/>
      <c r="X329" s="594"/>
      <c r="Y329" s="595"/>
      <c r="Z329" s="595"/>
      <c r="AA329" s="595"/>
      <c r="AB329" s="595"/>
      <c r="AC329" s="595"/>
    </row>
    <row r="330" spans="1:29" ht="12.75" customHeight="1">
      <c r="A330" s="601"/>
      <c r="B330" s="602"/>
      <c r="C330" s="602"/>
      <c r="D330" s="602"/>
      <c r="E330" s="602"/>
      <c r="F330" s="602"/>
      <c r="G330" s="602"/>
      <c r="H330" s="602"/>
      <c r="I330" s="602"/>
      <c r="J330" s="602"/>
      <c r="K330" s="602"/>
      <c r="L330" s="603"/>
      <c r="M330" s="603"/>
      <c r="N330" s="603"/>
      <c r="O330" s="603"/>
      <c r="P330" s="603"/>
      <c r="Q330" s="595"/>
      <c r="R330" s="595"/>
      <c r="S330" s="595"/>
      <c r="T330" s="595"/>
      <c r="U330" s="595"/>
      <c r="V330" s="595"/>
      <c r="W330" s="594"/>
      <c r="X330" s="594"/>
      <c r="Y330" s="595"/>
      <c r="Z330" s="595"/>
      <c r="AA330" s="595"/>
      <c r="AB330" s="595"/>
      <c r="AC330" s="595"/>
    </row>
    <row r="331" spans="1:29" ht="12.75" customHeight="1">
      <c r="A331" s="601"/>
      <c r="B331" s="602"/>
      <c r="C331" s="602"/>
      <c r="D331" s="602"/>
      <c r="E331" s="602"/>
      <c r="F331" s="602"/>
      <c r="G331" s="602"/>
      <c r="H331" s="602"/>
      <c r="I331" s="602"/>
      <c r="J331" s="602"/>
      <c r="K331" s="602"/>
      <c r="L331" s="603"/>
      <c r="M331" s="603"/>
      <c r="N331" s="603"/>
      <c r="O331" s="603"/>
      <c r="P331" s="603"/>
      <c r="Q331" s="595"/>
      <c r="R331" s="595"/>
      <c r="S331" s="595"/>
      <c r="T331" s="595"/>
      <c r="U331" s="595"/>
      <c r="V331" s="595"/>
      <c r="W331" s="594"/>
      <c r="X331" s="594"/>
      <c r="Y331" s="595"/>
      <c r="Z331" s="595"/>
      <c r="AA331" s="595"/>
      <c r="AB331" s="595"/>
      <c r="AC331" s="595"/>
    </row>
    <row r="332" spans="1:29" ht="12.75" customHeight="1">
      <c r="A332" s="601"/>
      <c r="B332" s="602"/>
      <c r="C332" s="602"/>
      <c r="D332" s="602"/>
      <c r="E332" s="602"/>
      <c r="F332" s="602"/>
      <c r="G332" s="602"/>
      <c r="H332" s="602"/>
      <c r="I332" s="602"/>
      <c r="J332" s="602"/>
      <c r="K332" s="602"/>
      <c r="L332" s="603"/>
      <c r="M332" s="603"/>
      <c r="N332" s="603"/>
      <c r="O332" s="603"/>
      <c r="P332" s="603"/>
      <c r="Q332" s="595"/>
      <c r="R332" s="595"/>
      <c r="S332" s="595"/>
      <c r="T332" s="595"/>
      <c r="U332" s="595"/>
      <c r="V332" s="595"/>
      <c r="W332" s="594"/>
      <c r="X332" s="594"/>
      <c r="Y332" s="595"/>
      <c r="Z332" s="595"/>
      <c r="AA332" s="595"/>
      <c r="AB332" s="595"/>
      <c r="AC332" s="595"/>
    </row>
    <row r="333" spans="1:29" ht="12.75" customHeight="1">
      <c r="A333" s="601"/>
      <c r="B333" s="602"/>
      <c r="C333" s="602"/>
      <c r="D333" s="602"/>
      <c r="E333" s="602"/>
      <c r="F333" s="602"/>
      <c r="G333" s="602"/>
      <c r="H333" s="602"/>
      <c r="I333" s="602"/>
      <c r="J333" s="602"/>
      <c r="K333" s="602"/>
      <c r="L333" s="603"/>
      <c r="M333" s="603"/>
      <c r="N333" s="603"/>
      <c r="O333" s="603"/>
      <c r="P333" s="603"/>
      <c r="Q333" s="595"/>
      <c r="R333" s="595"/>
      <c r="S333" s="595"/>
      <c r="T333" s="595"/>
      <c r="U333" s="595"/>
      <c r="V333" s="595"/>
      <c r="W333" s="594"/>
      <c r="X333" s="594"/>
      <c r="Y333" s="595"/>
      <c r="Z333" s="595"/>
      <c r="AA333" s="595"/>
      <c r="AB333" s="595"/>
      <c r="AC333" s="595"/>
    </row>
    <row r="334" spans="1:29" ht="12.75" customHeight="1">
      <c r="A334" s="601"/>
      <c r="B334" s="602"/>
      <c r="C334" s="602"/>
      <c r="D334" s="602"/>
      <c r="E334" s="602"/>
      <c r="F334" s="602"/>
      <c r="G334" s="602"/>
      <c r="H334" s="602"/>
      <c r="I334" s="602"/>
      <c r="J334" s="602"/>
      <c r="K334" s="602"/>
      <c r="L334" s="603"/>
      <c r="M334" s="603"/>
      <c r="N334" s="603"/>
      <c r="O334" s="603"/>
      <c r="P334" s="603"/>
      <c r="Q334" s="595"/>
      <c r="R334" s="595"/>
      <c r="S334" s="595"/>
      <c r="T334" s="595"/>
      <c r="U334" s="595"/>
      <c r="V334" s="595"/>
      <c r="W334" s="594"/>
      <c r="X334" s="594"/>
      <c r="Y334" s="595"/>
      <c r="Z334" s="595"/>
      <c r="AA334" s="595"/>
      <c r="AB334" s="595"/>
      <c r="AC334" s="595"/>
    </row>
    <row r="335" spans="1:29" ht="12.75" customHeight="1">
      <c r="A335" s="601"/>
      <c r="B335" s="602"/>
      <c r="C335" s="602"/>
      <c r="D335" s="602"/>
      <c r="E335" s="602"/>
      <c r="F335" s="602"/>
      <c r="G335" s="602"/>
      <c r="H335" s="602"/>
      <c r="I335" s="602"/>
      <c r="J335" s="602"/>
      <c r="K335" s="602"/>
      <c r="L335" s="603"/>
      <c r="M335" s="603"/>
      <c r="N335" s="603"/>
      <c r="O335" s="603"/>
      <c r="P335" s="603"/>
      <c r="Q335" s="595"/>
      <c r="R335" s="595"/>
      <c r="S335" s="595"/>
      <c r="T335" s="595"/>
      <c r="U335" s="595"/>
      <c r="V335" s="595"/>
      <c r="W335" s="594"/>
      <c r="X335" s="594"/>
      <c r="Y335" s="595"/>
      <c r="Z335" s="595"/>
      <c r="AA335" s="595"/>
      <c r="AB335" s="595"/>
      <c r="AC335" s="595"/>
    </row>
    <row r="336" spans="1:29" ht="12.75" customHeight="1">
      <c r="A336" s="601"/>
      <c r="B336" s="602"/>
      <c r="C336" s="602"/>
      <c r="D336" s="602"/>
      <c r="E336" s="602"/>
      <c r="F336" s="602"/>
      <c r="G336" s="602"/>
      <c r="H336" s="602"/>
      <c r="I336" s="602"/>
      <c r="J336" s="602"/>
      <c r="K336" s="602"/>
      <c r="L336" s="603"/>
      <c r="M336" s="603"/>
      <c r="N336" s="603"/>
      <c r="O336" s="603"/>
      <c r="P336" s="603"/>
      <c r="Q336" s="595"/>
      <c r="R336" s="595"/>
      <c r="S336" s="595"/>
      <c r="T336" s="595"/>
      <c r="U336" s="595"/>
      <c r="V336" s="595"/>
      <c r="W336" s="594"/>
      <c r="X336" s="594"/>
      <c r="Y336" s="595"/>
      <c r="Z336" s="595"/>
      <c r="AA336" s="595"/>
      <c r="AB336" s="595"/>
      <c r="AC336" s="595"/>
    </row>
    <row r="337" spans="1:29" ht="12.75" customHeight="1">
      <c r="A337" s="601"/>
      <c r="B337" s="602"/>
      <c r="C337" s="602"/>
      <c r="D337" s="602"/>
      <c r="E337" s="602"/>
      <c r="F337" s="602"/>
      <c r="G337" s="602"/>
      <c r="H337" s="602"/>
      <c r="I337" s="602"/>
      <c r="J337" s="602"/>
      <c r="K337" s="602"/>
      <c r="L337" s="603"/>
      <c r="M337" s="603"/>
      <c r="N337" s="603"/>
      <c r="O337" s="603"/>
      <c r="P337" s="603"/>
      <c r="Q337" s="595"/>
      <c r="R337" s="595"/>
      <c r="S337" s="595"/>
      <c r="T337" s="595"/>
      <c r="U337" s="595"/>
      <c r="V337" s="595"/>
      <c r="W337" s="594"/>
      <c r="X337" s="594"/>
      <c r="Y337" s="595"/>
      <c r="Z337" s="595"/>
      <c r="AA337" s="595"/>
      <c r="AB337" s="595"/>
      <c r="AC337" s="595"/>
    </row>
    <row r="338" spans="1:29" ht="12.75" customHeight="1">
      <c r="A338" s="601"/>
      <c r="B338" s="602"/>
      <c r="C338" s="602"/>
      <c r="D338" s="602"/>
      <c r="E338" s="602"/>
      <c r="F338" s="602"/>
      <c r="G338" s="602"/>
      <c r="H338" s="602"/>
      <c r="I338" s="602"/>
      <c r="J338" s="602"/>
      <c r="K338" s="602"/>
      <c r="L338" s="603"/>
      <c r="M338" s="603"/>
      <c r="N338" s="603"/>
      <c r="O338" s="603"/>
      <c r="P338" s="603"/>
      <c r="Q338" s="595"/>
      <c r="R338" s="595"/>
      <c r="S338" s="595"/>
      <c r="T338" s="595"/>
      <c r="U338" s="595"/>
      <c r="V338" s="595"/>
      <c r="W338" s="594"/>
      <c r="X338" s="594"/>
      <c r="Y338" s="595"/>
      <c r="Z338" s="595"/>
      <c r="AA338" s="595"/>
      <c r="AB338" s="595"/>
      <c r="AC338" s="595"/>
    </row>
    <row r="339" spans="1:29" ht="12.75" customHeight="1">
      <c r="A339" s="601"/>
      <c r="B339" s="602"/>
      <c r="C339" s="602"/>
      <c r="D339" s="602"/>
      <c r="E339" s="602"/>
      <c r="F339" s="602"/>
      <c r="G339" s="602"/>
      <c r="H339" s="602"/>
      <c r="I339" s="602"/>
      <c r="J339" s="602"/>
      <c r="K339" s="602"/>
      <c r="L339" s="603"/>
      <c r="M339" s="603"/>
      <c r="N339" s="603"/>
      <c r="O339" s="603"/>
      <c r="P339" s="603"/>
      <c r="Q339" s="595"/>
      <c r="R339" s="595"/>
      <c r="S339" s="595"/>
      <c r="T339" s="595"/>
      <c r="U339" s="595"/>
      <c r="V339" s="595"/>
      <c r="W339" s="594"/>
      <c r="X339" s="594"/>
      <c r="Y339" s="595"/>
      <c r="Z339" s="595"/>
      <c r="AA339" s="595"/>
      <c r="AB339" s="595"/>
      <c r="AC339" s="595"/>
    </row>
    <row r="340" spans="1:29" ht="12.75" customHeight="1">
      <c r="A340" s="601"/>
      <c r="B340" s="602"/>
      <c r="C340" s="602"/>
      <c r="D340" s="602"/>
      <c r="E340" s="602"/>
      <c r="F340" s="602"/>
      <c r="G340" s="602"/>
      <c r="H340" s="602"/>
      <c r="I340" s="602"/>
      <c r="J340" s="602"/>
      <c r="K340" s="602"/>
      <c r="L340" s="603"/>
      <c r="M340" s="603"/>
      <c r="N340" s="603"/>
      <c r="O340" s="603"/>
      <c r="P340" s="603"/>
      <c r="Q340" s="595"/>
      <c r="R340" s="595"/>
      <c r="S340" s="595"/>
      <c r="T340" s="595"/>
      <c r="U340" s="595"/>
      <c r="V340" s="595"/>
      <c r="W340" s="594"/>
      <c r="X340" s="594"/>
      <c r="Y340" s="595"/>
      <c r="Z340" s="595"/>
      <c r="AA340" s="595"/>
      <c r="AB340" s="595"/>
      <c r="AC340" s="595"/>
    </row>
    <row r="341" spans="1:29" ht="12.75" customHeight="1">
      <c r="A341" s="601"/>
      <c r="B341" s="602"/>
      <c r="C341" s="602"/>
      <c r="D341" s="602"/>
      <c r="E341" s="602"/>
      <c r="F341" s="602"/>
      <c r="G341" s="602"/>
      <c r="H341" s="602"/>
      <c r="I341" s="602"/>
      <c r="J341" s="602"/>
      <c r="K341" s="602"/>
      <c r="L341" s="603"/>
      <c r="M341" s="603"/>
      <c r="N341" s="603"/>
      <c r="O341" s="603"/>
      <c r="P341" s="603"/>
      <c r="Q341" s="595"/>
      <c r="R341" s="595"/>
      <c r="S341" s="595"/>
      <c r="T341" s="595"/>
      <c r="U341" s="595"/>
      <c r="V341" s="595"/>
      <c r="W341" s="594"/>
      <c r="X341" s="594"/>
      <c r="Y341" s="595"/>
      <c r="Z341" s="595"/>
      <c r="AA341" s="595"/>
      <c r="AB341" s="595"/>
      <c r="AC341" s="595"/>
    </row>
    <row r="342" spans="1:29" ht="12.75" customHeight="1">
      <c r="A342" s="601"/>
      <c r="B342" s="602"/>
      <c r="C342" s="602"/>
      <c r="D342" s="602"/>
      <c r="E342" s="602"/>
      <c r="F342" s="602"/>
      <c r="G342" s="602"/>
      <c r="H342" s="602"/>
      <c r="I342" s="602"/>
      <c r="J342" s="602"/>
      <c r="K342" s="602"/>
      <c r="L342" s="603"/>
      <c r="M342" s="603"/>
      <c r="N342" s="603"/>
      <c r="O342" s="603"/>
      <c r="P342" s="603"/>
      <c r="Q342" s="595"/>
      <c r="R342" s="595"/>
      <c r="S342" s="595"/>
      <c r="T342" s="595"/>
      <c r="U342" s="595"/>
      <c r="V342" s="595"/>
      <c r="W342" s="594"/>
      <c r="X342" s="594"/>
      <c r="Y342" s="595"/>
      <c r="Z342" s="595"/>
      <c r="AA342" s="595"/>
      <c r="AB342" s="595"/>
      <c r="AC342" s="595"/>
    </row>
    <row r="343" spans="1:29" ht="12.75" customHeight="1">
      <c r="A343" s="601"/>
      <c r="B343" s="602"/>
      <c r="C343" s="602"/>
      <c r="D343" s="602"/>
      <c r="E343" s="602"/>
      <c r="F343" s="602"/>
      <c r="G343" s="602"/>
      <c r="H343" s="602"/>
      <c r="I343" s="602"/>
      <c r="J343" s="602"/>
      <c r="K343" s="602"/>
      <c r="L343" s="603"/>
      <c r="M343" s="603"/>
      <c r="N343" s="603"/>
      <c r="O343" s="603"/>
      <c r="P343" s="603"/>
      <c r="Q343" s="595"/>
      <c r="R343" s="595"/>
      <c r="S343" s="595"/>
      <c r="T343" s="595"/>
      <c r="U343" s="595"/>
      <c r="V343" s="595"/>
      <c r="W343" s="594"/>
      <c r="X343" s="594"/>
      <c r="Y343" s="595"/>
      <c r="Z343" s="595"/>
      <c r="AA343" s="595"/>
      <c r="AB343" s="595"/>
      <c r="AC343" s="595"/>
    </row>
    <row r="344" spans="1:29" ht="12.75" customHeight="1">
      <c r="A344" s="601"/>
      <c r="B344" s="602"/>
      <c r="C344" s="602"/>
      <c r="D344" s="602"/>
      <c r="E344" s="602"/>
      <c r="F344" s="602"/>
      <c r="G344" s="602"/>
      <c r="H344" s="602"/>
      <c r="I344" s="602"/>
      <c r="J344" s="602"/>
      <c r="K344" s="602"/>
      <c r="L344" s="603"/>
      <c r="M344" s="603"/>
      <c r="N344" s="603"/>
      <c r="O344" s="603"/>
      <c r="P344" s="603"/>
      <c r="Q344" s="595"/>
      <c r="R344" s="595"/>
      <c r="S344" s="595"/>
      <c r="T344" s="595"/>
      <c r="U344" s="595"/>
      <c r="V344" s="595"/>
      <c r="W344" s="594"/>
      <c r="X344" s="594"/>
      <c r="Y344" s="595"/>
      <c r="Z344" s="595"/>
      <c r="AA344" s="595"/>
      <c r="AB344" s="595"/>
      <c r="AC344" s="595"/>
    </row>
    <row r="345" spans="1:29" ht="12.75" customHeight="1">
      <c r="A345" s="601"/>
      <c r="B345" s="602"/>
      <c r="C345" s="602"/>
      <c r="D345" s="602"/>
      <c r="E345" s="602"/>
      <c r="F345" s="602"/>
      <c r="G345" s="602"/>
      <c r="H345" s="602"/>
      <c r="I345" s="602"/>
      <c r="J345" s="602"/>
      <c r="K345" s="602"/>
      <c r="L345" s="603"/>
      <c r="M345" s="603"/>
      <c r="N345" s="603"/>
      <c r="O345" s="603"/>
      <c r="P345" s="603"/>
      <c r="Q345" s="595"/>
      <c r="R345" s="595"/>
      <c r="S345" s="595"/>
      <c r="T345" s="595"/>
      <c r="U345" s="595"/>
      <c r="V345" s="595"/>
      <c r="W345" s="594"/>
      <c r="X345" s="594"/>
      <c r="Y345" s="595"/>
      <c r="Z345" s="595"/>
      <c r="AA345" s="595"/>
      <c r="AB345" s="595"/>
      <c r="AC345" s="595"/>
    </row>
    <row r="346" spans="1:29" ht="12.75" customHeight="1">
      <c r="A346" s="601"/>
      <c r="B346" s="602"/>
      <c r="C346" s="602"/>
      <c r="D346" s="602"/>
      <c r="E346" s="602"/>
      <c r="F346" s="602"/>
      <c r="G346" s="602"/>
      <c r="H346" s="602"/>
      <c r="I346" s="602"/>
      <c r="J346" s="602"/>
      <c r="K346" s="602"/>
      <c r="L346" s="603"/>
      <c r="M346" s="603"/>
      <c r="N346" s="603"/>
      <c r="O346" s="603"/>
      <c r="P346" s="603"/>
      <c r="Q346" s="595"/>
      <c r="R346" s="595"/>
      <c r="S346" s="595"/>
      <c r="T346" s="595"/>
      <c r="U346" s="595"/>
      <c r="V346" s="595"/>
      <c r="W346" s="594"/>
      <c r="X346" s="594"/>
      <c r="Y346" s="595"/>
      <c r="Z346" s="595"/>
      <c r="AA346" s="595"/>
      <c r="AB346" s="595"/>
      <c r="AC346" s="595"/>
    </row>
    <row r="347" spans="1:29" ht="12.75" customHeight="1">
      <c r="A347" s="601"/>
      <c r="B347" s="602"/>
      <c r="C347" s="602"/>
      <c r="D347" s="602"/>
      <c r="E347" s="602"/>
      <c r="F347" s="602"/>
      <c r="G347" s="602"/>
      <c r="H347" s="602"/>
      <c r="I347" s="602"/>
      <c r="J347" s="602"/>
      <c r="K347" s="602"/>
      <c r="L347" s="603"/>
      <c r="M347" s="603"/>
      <c r="N347" s="603"/>
      <c r="O347" s="603"/>
      <c r="P347" s="603"/>
      <c r="Q347" s="595"/>
      <c r="R347" s="595"/>
      <c r="S347" s="595"/>
      <c r="T347" s="595"/>
      <c r="U347" s="595"/>
      <c r="V347" s="595"/>
      <c r="W347" s="594"/>
      <c r="X347" s="594"/>
      <c r="Y347" s="595"/>
      <c r="Z347" s="595"/>
      <c r="AA347" s="595"/>
      <c r="AB347" s="595"/>
      <c r="AC347" s="595"/>
    </row>
    <row r="348" spans="1:29" ht="12.75" customHeight="1">
      <c r="A348" s="601"/>
      <c r="B348" s="602"/>
      <c r="C348" s="602"/>
      <c r="D348" s="602"/>
      <c r="E348" s="602"/>
      <c r="F348" s="602"/>
      <c r="G348" s="602"/>
      <c r="H348" s="602"/>
      <c r="I348" s="602"/>
      <c r="J348" s="602"/>
      <c r="K348" s="602"/>
      <c r="L348" s="603"/>
      <c r="M348" s="603"/>
      <c r="N348" s="603"/>
      <c r="O348" s="603"/>
      <c r="P348" s="603"/>
      <c r="Q348" s="595"/>
      <c r="R348" s="595"/>
      <c r="S348" s="595"/>
      <c r="T348" s="595"/>
      <c r="U348" s="595"/>
      <c r="V348" s="595"/>
      <c r="W348" s="594"/>
      <c r="X348" s="594"/>
      <c r="Y348" s="595"/>
      <c r="Z348" s="595"/>
      <c r="AA348" s="595"/>
      <c r="AB348" s="595"/>
      <c r="AC348" s="595"/>
    </row>
    <row r="349" spans="1:29" ht="12.75" customHeight="1">
      <c r="A349" s="601"/>
      <c r="B349" s="602"/>
      <c r="C349" s="602"/>
      <c r="D349" s="602"/>
      <c r="E349" s="602"/>
      <c r="F349" s="602"/>
      <c r="G349" s="602"/>
      <c r="H349" s="602"/>
      <c r="I349" s="602"/>
      <c r="J349" s="602"/>
      <c r="K349" s="602"/>
      <c r="L349" s="603"/>
      <c r="M349" s="603"/>
      <c r="N349" s="603"/>
      <c r="O349" s="603"/>
      <c r="P349" s="603"/>
      <c r="Q349" s="595"/>
      <c r="R349" s="595"/>
      <c r="S349" s="595"/>
      <c r="T349" s="595"/>
      <c r="U349" s="595"/>
      <c r="V349" s="595"/>
      <c r="W349" s="594"/>
      <c r="X349" s="594"/>
      <c r="Y349" s="595"/>
      <c r="Z349" s="595"/>
      <c r="AA349" s="595"/>
      <c r="AB349" s="595"/>
      <c r="AC349" s="595"/>
    </row>
    <row r="350" spans="1:29" ht="12.75" customHeight="1">
      <c r="A350" s="601"/>
      <c r="B350" s="602"/>
      <c r="C350" s="602"/>
      <c r="D350" s="602"/>
      <c r="E350" s="602"/>
      <c r="F350" s="602"/>
      <c r="G350" s="602"/>
      <c r="H350" s="602"/>
      <c r="I350" s="602"/>
      <c r="J350" s="602"/>
      <c r="K350" s="602"/>
      <c r="L350" s="603"/>
      <c r="M350" s="603"/>
      <c r="N350" s="603"/>
      <c r="O350" s="603"/>
      <c r="P350" s="603"/>
      <c r="Q350" s="595"/>
      <c r="R350" s="595"/>
      <c r="S350" s="595"/>
      <c r="T350" s="595"/>
      <c r="U350" s="595"/>
      <c r="V350" s="595"/>
      <c r="W350" s="594"/>
      <c r="X350" s="594"/>
      <c r="Y350" s="595"/>
      <c r="Z350" s="595"/>
      <c r="AA350" s="595"/>
      <c r="AB350" s="595"/>
      <c r="AC350" s="595"/>
    </row>
    <row r="351" spans="1:29" ht="12.75" customHeight="1">
      <c r="A351" s="601"/>
      <c r="B351" s="602"/>
      <c r="C351" s="602"/>
      <c r="D351" s="602"/>
      <c r="E351" s="602"/>
      <c r="F351" s="602"/>
      <c r="G351" s="602"/>
      <c r="H351" s="602"/>
      <c r="I351" s="602"/>
      <c r="J351" s="602"/>
      <c r="K351" s="602"/>
      <c r="L351" s="603"/>
      <c r="M351" s="603"/>
      <c r="N351" s="603"/>
      <c r="O351" s="603"/>
      <c r="P351" s="603"/>
      <c r="Q351" s="595"/>
      <c r="R351" s="595"/>
      <c r="S351" s="595"/>
      <c r="T351" s="595"/>
      <c r="U351" s="595"/>
      <c r="V351" s="595"/>
      <c r="W351" s="594"/>
      <c r="X351" s="594"/>
      <c r="Y351" s="595"/>
      <c r="Z351" s="595"/>
      <c r="AA351" s="595"/>
      <c r="AB351" s="595"/>
      <c r="AC351" s="595"/>
    </row>
    <row r="352" spans="1:29" ht="12.75" customHeight="1">
      <c r="A352" s="601"/>
      <c r="B352" s="602"/>
      <c r="C352" s="602"/>
      <c r="D352" s="602"/>
      <c r="E352" s="602"/>
      <c r="F352" s="602"/>
      <c r="G352" s="602"/>
      <c r="H352" s="602"/>
      <c r="I352" s="602"/>
      <c r="J352" s="602"/>
      <c r="K352" s="602"/>
      <c r="L352" s="603"/>
      <c r="M352" s="603"/>
      <c r="N352" s="603"/>
      <c r="O352" s="603"/>
      <c r="P352" s="603"/>
      <c r="Q352" s="595"/>
      <c r="R352" s="595"/>
      <c r="S352" s="595"/>
      <c r="T352" s="595"/>
      <c r="U352" s="595"/>
      <c r="V352" s="595"/>
      <c r="W352" s="594"/>
      <c r="X352" s="594"/>
      <c r="Y352" s="595"/>
      <c r="Z352" s="595"/>
      <c r="AA352" s="595"/>
      <c r="AB352" s="595"/>
      <c r="AC352" s="595"/>
    </row>
    <row r="353" spans="1:29" ht="12.75" customHeight="1">
      <c r="A353" s="601"/>
      <c r="B353" s="602"/>
      <c r="C353" s="602"/>
      <c r="D353" s="602"/>
      <c r="E353" s="602"/>
      <c r="F353" s="602"/>
      <c r="G353" s="602"/>
      <c r="H353" s="602"/>
      <c r="I353" s="602"/>
      <c r="J353" s="602"/>
      <c r="K353" s="602"/>
      <c r="L353" s="603"/>
      <c r="M353" s="603"/>
      <c r="N353" s="603"/>
      <c r="O353" s="603"/>
      <c r="P353" s="603"/>
      <c r="Q353" s="595"/>
      <c r="R353" s="595"/>
      <c r="S353" s="595"/>
      <c r="T353" s="595"/>
      <c r="U353" s="595"/>
      <c r="V353" s="595"/>
      <c r="W353" s="594"/>
      <c r="X353" s="594"/>
      <c r="Y353" s="595"/>
      <c r="Z353" s="595"/>
      <c r="AA353" s="595"/>
      <c r="AB353" s="595"/>
      <c r="AC353" s="595"/>
    </row>
    <row r="354" spans="1:29" ht="12.75" customHeight="1">
      <c r="A354" s="601"/>
      <c r="B354" s="602"/>
      <c r="C354" s="602"/>
      <c r="D354" s="602"/>
      <c r="E354" s="602"/>
      <c r="F354" s="602"/>
      <c r="G354" s="602"/>
      <c r="H354" s="602"/>
      <c r="I354" s="602"/>
      <c r="J354" s="602"/>
      <c r="K354" s="602"/>
      <c r="L354" s="603"/>
      <c r="M354" s="603"/>
      <c r="N354" s="603"/>
      <c r="O354" s="603"/>
      <c r="P354" s="603"/>
      <c r="Q354" s="595"/>
      <c r="R354" s="595"/>
      <c r="S354" s="595"/>
      <c r="T354" s="595"/>
      <c r="U354" s="595"/>
      <c r="V354" s="595"/>
      <c r="W354" s="594"/>
      <c r="X354" s="594"/>
      <c r="Y354" s="595"/>
      <c r="Z354" s="595"/>
      <c r="AA354" s="595"/>
      <c r="AB354" s="595"/>
      <c r="AC354" s="595"/>
    </row>
    <row r="355" spans="1:29" ht="12.75" customHeight="1">
      <c r="A355" s="601"/>
      <c r="B355" s="602"/>
      <c r="C355" s="602"/>
      <c r="D355" s="602"/>
      <c r="E355" s="602"/>
      <c r="F355" s="602"/>
      <c r="G355" s="602"/>
      <c r="H355" s="602"/>
      <c r="I355" s="602"/>
      <c r="J355" s="602"/>
      <c r="K355" s="602"/>
      <c r="L355" s="603"/>
      <c r="M355" s="603"/>
      <c r="N355" s="603"/>
      <c r="O355" s="603"/>
      <c r="P355" s="603"/>
      <c r="Q355" s="595"/>
      <c r="R355" s="595"/>
      <c r="S355" s="595"/>
      <c r="T355" s="595"/>
      <c r="U355" s="595"/>
      <c r="V355" s="595"/>
      <c r="W355" s="594"/>
      <c r="X355" s="594"/>
      <c r="Y355" s="595"/>
      <c r="Z355" s="595"/>
      <c r="AA355" s="595"/>
      <c r="AB355" s="595"/>
      <c r="AC355" s="595"/>
    </row>
    <row r="356" spans="1:29" ht="12.75" customHeight="1">
      <c r="A356" s="601"/>
      <c r="B356" s="602"/>
      <c r="C356" s="602"/>
      <c r="D356" s="602"/>
      <c r="E356" s="602"/>
      <c r="F356" s="602"/>
      <c r="G356" s="602"/>
      <c r="H356" s="602"/>
      <c r="I356" s="602"/>
      <c r="J356" s="602"/>
      <c r="K356" s="602"/>
      <c r="L356" s="603"/>
      <c r="M356" s="603"/>
      <c r="N356" s="603"/>
      <c r="O356" s="603"/>
      <c r="P356" s="603"/>
      <c r="Q356" s="595"/>
      <c r="R356" s="595"/>
      <c r="S356" s="595"/>
      <c r="T356" s="595"/>
      <c r="U356" s="595"/>
      <c r="V356" s="595"/>
      <c r="W356" s="594"/>
      <c r="X356" s="594"/>
      <c r="Y356" s="595"/>
      <c r="Z356" s="595"/>
      <c r="AA356" s="595"/>
      <c r="AB356" s="595"/>
      <c r="AC356" s="595"/>
    </row>
    <row r="357" spans="1:29" ht="12.75" customHeight="1">
      <c r="A357" s="601"/>
      <c r="B357" s="602"/>
      <c r="C357" s="602"/>
      <c r="D357" s="602"/>
      <c r="E357" s="602"/>
      <c r="F357" s="602"/>
      <c r="G357" s="602"/>
      <c r="H357" s="602"/>
      <c r="I357" s="602"/>
      <c r="J357" s="602"/>
      <c r="K357" s="602"/>
      <c r="L357" s="603"/>
      <c r="M357" s="603"/>
      <c r="N357" s="603"/>
      <c r="O357" s="603"/>
      <c r="P357" s="603"/>
      <c r="Q357" s="595"/>
      <c r="R357" s="595"/>
      <c r="S357" s="595"/>
      <c r="T357" s="595"/>
      <c r="U357" s="595"/>
      <c r="V357" s="595"/>
      <c r="W357" s="594"/>
      <c r="X357" s="594"/>
      <c r="Y357" s="595"/>
      <c r="Z357" s="595"/>
      <c r="AA357" s="595"/>
      <c r="AB357" s="595"/>
      <c r="AC357" s="595"/>
    </row>
    <row r="358" spans="1:29" ht="12.75" customHeight="1">
      <c r="A358" s="601"/>
      <c r="B358" s="602"/>
      <c r="C358" s="602"/>
      <c r="D358" s="602"/>
      <c r="E358" s="602"/>
      <c r="F358" s="602"/>
      <c r="G358" s="602"/>
      <c r="H358" s="602"/>
      <c r="I358" s="602"/>
      <c r="J358" s="602"/>
      <c r="K358" s="602"/>
      <c r="L358" s="603"/>
      <c r="M358" s="603"/>
      <c r="N358" s="603"/>
      <c r="O358" s="603"/>
      <c r="P358" s="603"/>
      <c r="Q358" s="595"/>
      <c r="R358" s="595"/>
      <c r="S358" s="595"/>
      <c r="T358" s="595"/>
      <c r="U358" s="595"/>
      <c r="V358" s="595"/>
      <c r="W358" s="594"/>
      <c r="X358" s="594"/>
      <c r="Y358" s="595"/>
      <c r="Z358" s="595"/>
      <c r="AA358" s="595"/>
      <c r="AB358" s="595"/>
      <c r="AC358" s="595"/>
    </row>
    <row r="359" spans="1:29" ht="12.75" customHeight="1">
      <c r="A359" s="601"/>
      <c r="B359" s="602"/>
      <c r="C359" s="602"/>
      <c r="D359" s="602"/>
      <c r="E359" s="602"/>
      <c r="F359" s="602"/>
      <c r="G359" s="602"/>
      <c r="H359" s="602"/>
      <c r="I359" s="602"/>
      <c r="J359" s="602"/>
      <c r="K359" s="602"/>
      <c r="L359" s="603"/>
      <c r="M359" s="603"/>
      <c r="N359" s="603"/>
      <c r="O359" s="603"/>
      <c r="P359" s="603"/>
      <c r="Q359" s="595"/>
      <c r="R359" s="595"/>
      <c r="S359" s="595"/>
      <c r="T359" s="595"/>
      <c r="U359" s="595"/>
      <c r="V359" s="595"/>
      <c r="W359" s="594"/>
      <c r="X359" s="594"/>
      <c r="Y359" s="595"/>
      <c r="Z359" s="595"/>
      <c r="AA359" s="595"/>
      <c r="AB359" s="595"/>
      <c r="AC359" s="595"/>
    </row>
    <row r="360" spans="1:29" ht="12.75" customHeight="1">
      <c r="A360" s="601"/>
      <c r="B360" s="602"/>
      <c r="C360" s="602"/>
      <c r="D360" s="602"/>
      <c r="E360" s="602"/>
      <c r="F360" s="602"/>
      <c r="G360" s="602"/>
      <c r="H360" s="602"/>
      <c r="I360" s="602"/>
      <c r="J360" s="602"/>
      <c r="K360" s="602"/>
      <c r="L360" s="603"/>
      <c r="M360" s="603"/>
      <c r="N360" s="603"/>
      <c r="O360" s="603"/>
      <c r="P360" s="603"/>
      <c r="Q360" s="595"/>
      <c r="R360" s="595"/>
      <c r="S360" s="595"/>
      <c r="T360" s="595"/>
      <c r="U360" s="595"/>
      <c r="V360" s="595"/>
      <c r="W360" s="594"/>
      <c r="X360" s="594"/>
      <c r="Y360" s="595"/>
      <c r="Z360" s="595"/>
      <c r="AA360" s="595"/>
      <c r="AB360" s="595"/>
      <c r="AC360" s="595"/>
    </row>
    <row r="361" spans="1:29" ht="12.75" customHeight="1">
      <c r="A361" s="601"/>
      <c r="B361" s="602"/>
      <c r="C361" s="602"/>
      <c r="D361" s="602"/>
      <c r="E361" s="602"/>
      <c r="F361" s="602"/>
      <c r="G361" s="602"/>
      <c r="H361" s="602"/>
      <c r="I361" s="602"/>
      <c r="J361" s="602"/>
      <c r="K361" s="602"/>
      <c r="L361" s="603"/>
      <c r="M361" s="603"/>
      <c r="N361" s="603"/>
      <c r="O361" s="603"/>
      <c r="P361" s="603"/>
      <c r="Q361" s="595"/>
      <c r="R361" s="595"/>
      <c r="S361" s="595"/>
      <c r="T361" s="595"/>
      <c r="U361" s="595"/>
      <c r="V361" s="595"/>
      <c r="W361" s="594"/>
      <c r="X361" s="594"/>
      <c r="Y361" s="595"/>
      <c r="Z361" s="595"/>
      <c r="AA361" s="595"/>
      <c r="AB361" s="595"/>
      <c r="AC361" s="595"/>
    </row>
    <row r="362" spans="1:29" ht="12.75" customHeight="1">
      <c r="A362" s="601"/>
      <c r="B362" s="602"/>
      <c r="C362" s="602"/>
      <c r="D362" s="602"/>
      <c r="E362" s="602"/>
      <c r="F362" s="602"/>
      <c r="G362" s="602"/>
      <c r="H362" s="602"/>
      <c r="I362" s="602"/>
      <c r="J362" s="602"/>
      <c r="K362" s="602"/>
      <c r="L362" s="603"/>
      <c r="M362" s="603"/>
      <c r="N362" s="603"/>
      <c r="O362" s="603"/>
      <c r="P362" s="603"/>
      <c r="Q362" s="595"/>
      <c r="R362" s="595"/>
      <c r="S362" s="595"/>
      <c r="T362" s="595"/>
      <c r="U362" s="595"/>
      <c r="V362" s="595"/>
      <c r="W362" s="594"/>
      <c r="X362" s="594"/>
      <c r="Y362" s="595"/>
      <c r="Z362" s="595"/>
      <c r="AA362" s="595"/>
      <c r="AB362" s="595"/>
      <c r="AC362" s="595"/>
    </row>
    <row r="363" spans="1:29" ht="12.75" customHeight="1">
      <c r="A363" s="601"/>
      <c r="B363" s="602"/>
      <c r="C363" s="602"/>
      <c r="D363" s="602"/>
      <c r="E363" s="602"/>
      <c r="F363" s="602"/>
      <c r="G363" s="602"/>
      <c r="H363" s="602"/>
      <c r="I363" s="602"/>
      <c r="J363" s="602"/>
      <c r="K363" s="602"/>
      <c r="L363" s="603"/>
      <c r="M363" s="603"/>
      <c r="N363" s="603"/>
      <c r="O363" s="603"/>
      <c r="P363" s="603"/>
      <c r="Q363" s="595"/>
      <c r="R363" s="595"/>
      <c r="S363" s="595"/>
      <c r="T363" s="595"/>
      <c r="U363" s="595"/>
      <c r="V363" s="595"/>
      <c r="W363" s="594"/>
      <c r="X363" s="594"/>
      <c r="Y363" s="595"/>
      <c r="Z363" s="595"/>
      <c r="AA363" s="595"/>
      <c r="AB363" s="595"/>
      <c r="AC363" s="595"/>
    </row>
    <row r="364" spans="1:29" ht="12.75" customHeight="1">
      <c r="A364" s="601"/>
      <c r="B364" s="602"/>
      <c r="C364" s="602"/>
      <c r="D364" s="602"/>
      <c r="E364" s="602"/>
      <c r="F364" s="602"/>
      <c r="G364" s="602"/>
      <c r="H364" s="602"/>
      <c r="I364" s="602"/>
      <c r="J364" s="602"/>
      <c r="K364" s="602"/>
      <c r="L364" s="603"/>
      <c r="M364" s="603"/>
      <c r="N364" s="603"/>
      <c r="O364" s="603"/>
      <c r="P364" s="603"/>
      <c r="Q364" s="595"/>
      <c r="R364" s="595"/>
      <c r="S364" s="595"/>
      <c r="T364" s="595"/>
      <c r="U364" s="595"/>
      <c r="V364" s="595"/>
      <c r="W364" s="594"/>
      <c r="X364" s="594"/>
      <c r="Y364" s="595"/>
      <c r="Z364" s="595"/>
      <c r="AA364" s="595"/>
      <c r="AB364" s="595"/>
      <c r="AC364" s="595"/>
    </row>
    <row r="365" spans="1:29" ht="12.75" customHeight="1">
      <c r="A365" s="601"/>
      <c r="B365" s="602"/>
      <c r="C365" s="602"/>
      <c r="D365" s="602"/>
      <c r="E365" s="602"/>
      <c r="F365" s="602"/>
      <c r="G365" s="602"/>
      <c r="H365" s="602"/>
      <c r="I365" s="602"/>
      <c r="J365" s="602"/>
      <c r="K365" s="602"/>
      <c r="L365" s="603"/>
      <c r="M365" s="603"/>
      <c r="N365" s="603"/>
      <c r="O365" s="603"/>
      <c r="P365" s="603"/>
      <c r="Q365" s="595"/>
      <c r="R365" s="595"/>
      <c r="S365" s="595"/>
      <c r="T365" s="595"/>
      <c r="U365" s="595"/>
      <c r="V365" s="595"/>
      <c r="W365" s="594"/>
      <c r="X365" s="594"/>
      <c r="Y365" s="595"/>
      <c r="Z365" s="595"/>
      <c r="AA365" s="595"/>
      <c r="AB365" s="595"/>
      <c r="AC365" s="595"/>
    </row>
    <row r="366" spans="1:29" ht="12.75" customHeight="1">
      <c r="A366" s="601"/>
      <c r="B366" s="602"/>
      <c r="C366" s="602"/>
      <c r="D366" s="602"/>
      <c r="E366" s="602"/>
      <c r="F366" s="602"/>
      <c r="G366" s="602"/>
      <c r="H366" s="602"/>
      <c r="I366" s="602"/>
      <c r="J366" s="602"/>
      <c r="K366" s="602"/>
      <c r="L366" s="603"/>
      <c r="M366" s="603"/>
      <c r="N366" s="603"/>
      <c r="O366" s="603"/>
      <c r="P366" s="603"/>
      <c r="Q366" s="595"/>
      <c r="R366" s="595"/>
      <c r="S366" s="595"/>
      <c r="T366" s="595"/>
      <c r="U366" s="595"/>
      <c r="V366" s="595"/>
      <c r="W366" s="594"/>
      <c r="X366" s="594"/>
      <c r="Y366" s="595"/>
      <c r="Z366" s="595"/>
      <c r="AA366" s="595"/>
      <c r="AB366" s="595"/>
      <c r="AC366" s="595"/>
    </row>
    <row r="367" spans="1:29" ht="12.75" customHeight="1">
      <c r="A367" s="601"/>
      <c r="B367" s="602"/>
      <c r="C367" s="602"/>
      <c r="D367" s="602"/>
      <c r="E367" s="602"/>
      <c r="F367" s="602"/>
      <c r="G367" s="602"/>
      <c r="H367" s="602"/>
      <c r="I367" s="602"/>
      <c r="J367" s="602"/>
      <c r="K367" s="602"/>
      <c r="L367" s="603"/>
      <c r="M367" s="603"/>
      <c r="N367" s="603"/>
      <c r="O367" s="603"/>
      <c r="P367" s="603"/>
      <c r="Q367" s="595"/>
      <c r="R367" s="595"/>
      <c r="S367" s="595"/>
      <c r="T367" s="595"/>
      <c r="U367" s="595"/>
      <c r="V367" s="595"/>
      <c r="W367" s="594"/>
      <c r="X367" s="594"/>
      <c r="Y367" s="595"/>
      <c r="Z367" s="595"/>
      <c r="AA367" s="595"/>
      <c r="AB367" s="595"/>
      <c r="AC367" s="595"/>
    </row>
    <row r="368" spans="1:29" ht="12.75" customHeight="1">
      <c r="A368" s="601"/>
      <c r="B368" s="602"/>
      <c r="C368" s="602"/>
      <c r="D368" s="602"/>
      <c r="E368" s="602"/>
      <c r="F368" s="602"/>
      <c r="G368" s="602"/>
      <c r="H368" s="602"/>
      <c r="I368" s="602"/>
      <c r="J368" s="602"/>
      <c r="K368" s="602"/>
      <c r="L368" s="603"/>
      <c r="M368" s="603"/>
      <c r="N368" s="603"/>
      <c r="O368" s="603"/>
      <c r="P368" s="603"/>
      <c r="Q368" s="595"/>
      <c r="R368" s="595"/>
      <c r="S368" s="595"/>
      <c r="T368" s="595"/>
      <c r="U368" s="595"/>
      <c r="V368" s="595"/>
      <c r="W368" s="594"/>
      <c r="X368" s="594"/>
      <c r="Y368" s="595"/>
      <c r="Z368" s="595"/>
      <c r="AA368" s="595"/>
      <c r="AB368" s="595"/>
      <c r="AC368" s="595"/>
    </row>
    <row r="369" spans="1:29" ht="12.75" customHeight="1">
      <c r="A369" s="601"/>
      <c r="B369" s="602"/>
      <c r="C369" s="602"/>
      <c r="D369" s="602"/>
      <c r="E369" s="602"/>
      <c r="F369" s="602"/>
      <c r="G369" s="602"/>
      <c r="H369" s="602"/>
      <c r="I369" s="602"/>
      <c r="J369" s="602"/>
      <c r="K369" s="602"/>
      <c r="L369" s="603"/>
      <c r="M369" s="603"/>
      <c r="N369" s="603"/>
      <c r="O369" s="603"/>
      <c r="P369" s="603"/>
      <c r="Q369" s="595"/>
      <c r="R369" s="595"/>
      <c r="S369" s="595"/>
      <c r="T369" s="595"/>
      <c r="U369" s="595"/>
      <c r="V369" s="595"/>
      <c r="W369" s="594"/>
      <c r="X369" s="594"/>
      <c r="Y369" s="595"/>
      <c r="Z369" s="595"/>
      <c r="AA369" s="595"/>
      <c r="AB369" s="595"/>
      <c r="AC369" s="595"/>
    </row>
    <row r="370" spans="1:29" ht="12.75" customHeight="1">
      <c r="A370" s="601"/>
      <c r="B370" s="602"/>
      <c r="C370" s="602"/>
      <c r="D370" s="602"/>
      <c r="E370" s="602"/>
      <c r="F370" s="602"/>
      <c r="G370" s="602"/>
      <c r="H370" s="602"/>
      <c r="I370" s="602"/>
      <c r="J370" s="602"/>
      <c r="K370" s="602"/>
      <c r="L370" s="603"/>
      <c r="M370" s="603"/>
      <c r="N370" s="603"/>
      <c r="O370" s="603"/>
      <c r="P370" s="603"/>
      <c r="Q370" s="595"/>
      <c r="R370" s="595"/>
      <c r="S370" s="595"/>
      <c r="T370" s="595"/>
      <c r="U370" s="595"/>
      <c r="V370" s="595"/>
      <c r="W370" s="594"/>
      <c r="X370" s="594"/>
      <c r="Y370" s="595"/>
      <c r="Z370" s="595"/>
      <c r="AA370" s="595"/>
      <c r="AB370" s="595"/>
      <c r="AC370" s="595"/>
    </row>
    <row r="371" spans="1:29" ht="12.75" customHeight="1">
      <c r="A371" s="601"/>
      <c r="B371" s="602"/>
      <c r="C371" s="602"/>
      <c r="D371" s="602"/>
      <c r="E371" s="602"/>
      <c r="F371" s="602"/>
      <c r="G371" s="602"/>
      <c r="H371" s="602"/>
      <c r="I371" s="602"/>
      <c r="J371" s="602"/>
      <c r="K371" s="602"/>
      <c r="L371" s="603"/>
      <c r="M371" s="603"/>
      <c r="N371" s="603"/>
      <c r="O371" s="603"/>
      <c r="P371" s="603"/>
      <c r="Q371" s="595"/>
      <c r="R371" s="595"/>
      <c r="S371" s="595"/>
      <c r="T371" s="595"/>
      <c r="U371" s="595"/>
      <c r="V371" s="595"/>
      <c r="W371" s="594"/>
      <c r="X371" s="594"/>
      <c r="Y371" s="595"/>
      <c r="Z371" s="595"/>
      <c r="AA371" s="595"/>
      <c r="AB371" s="595"/>
      <c r="AC371" s="595"/>
    </row>
    <row r="372" spans="1:29" ht="12.75" customHeight="1">
      <c r="A372" s="601"/>
      <c r="B372" s="602"/>
      <c r="C372" s="602"/>
      <c r="D372" s="602"/>
      <c r="E372" s="602"/>
      <c r="F372" s="602"/>
      <c r="G372" s="602"/>
      <c r="H372" s="602"/>
      <c r="I372" s="602"/>
      <c r="J372" s="602"/>
      <c r="K372" s="602"/>
      <c r="L372" s="603"/>
      <c r="M372" s="603"/>
      <c r="N372" s="603"/>
      <c r="O372" s="603"/>
      <c r="P372" s="603"/>
      <c r="Q372" s="595"/>
      <c r="R372" s="595"/>
      <c r="S372" s="595"/>
      <c r="T372" s="595"/>
      <c r="U372" s="595"/>
      <c r="V372" s="595"/>
      <c r="W372" s="594"/>
      <c r="X372" s="594"/>
      <c r="Y372" s="595"/>
      <c r="Z372" s="595"/>
      <c r="AA372" s="595"/>
      <c r="AB372" s="595"/>
      <c r="AC372" s="595"/>
    </row>
    <row r="373" spans="1:29" ht="12.75" customHeight="1">
      <c r="A373" s="601"/>
      <c r="B373" s="602"/>
      <c r="C373" s="602"/>
      <c r="D373" s="602"/>
      <c r="E373" s="602"/>
      <c r="F373" s="602"/>
      <c r="G373" s="602"/>
      <c r="H373" s="602"/>
      <c r="I373" s="602"/>
      <c r="J373" s="602"/>
      <c r="K373" s="602"/>
      <c r="L373" s="603"/>
      <c r="M373" s="603"/>
      <c r="N373" s="603"/>
      <c r="O373" s="603"/>
      <c r="P373" s="603"/>
      <c r="Q373" s="595"/>
      <c r="R373" s="595"/>
      <c r="S373" s="595"/>
      <c r="T373" s="595"/>
      <c r="U373" s="595"/>
      <c r="V373" s="595"/>
      <c r="W373" s="594"/>
      <c r="X373" s="594"/>
      <c r="Y373" s="595"/>
      <c r="Z373" s="595"/>
      <c r="AA373" s="595"/>
      <c r="AB373" s="595"/>
      <c r="AC373" s="595"/>
    </row>
    <row r="374" spans="1:29" ht="12.75" customHeight="1">
      <c r="A374" s="601"/>
      <c r="B374" s="602"/>
      <c r="C374" s="602"/>
      <c r="D374" s="602"/>
      <c r="E374" s="602"/>
      <c r="F374" s="602"/>
      <c r="G374" s="602"/>
      <c r="H374" s="602"/>
      <c r="I374" s="602"/>
      <c r="J374" s="602"/>
      <c r="K374" s="602"/>
      <c r="L374" s="603"/>
      <c r="M374" s="603"/>
      <c r="N374" s="603"/>
      <c r="O374" s="603"/>
      <c r="P374" s="603"/>
      <c r="Q374" s="595"/>
      <c r="R374" s="595"/>
      <c r="S374" s="595"/>
      <c r="T374" s="595"/>
      <c r="U374" s="595"/>
      <c r="V374" s="595"/>
      <c r="W374" s="594"/>
      <c r="X374" s="594"/>
      <c r="Y374" s="595"/>
      <c r="Z374" s="595"/>
      <c r="AA374" s="595"/>
      <c r="AB374" s="595"/>
      <c r="AC374" s="595"/>
    </row>
    <row r="375" spans="1:29" ht="12.75" customHeight="1">
      <c r="A375" s="601"/>
      <c r="B375" s="602"/>
      <c r="C375" s="602"/>
      <c r="D375" s="602"/>
      <c r="E375" s="602"/>
      <c r="F375" s="602"/>
      <c r="G375" s="602"/>
      <c r="H375" s="602"/>
      <c r="I375" s="602"/>
      <c r="J375" s="602"/>
      <c r="K375" s="602"/>
      <c r="L375" s="603"/>
      <c r="M375" s="603"/>
      <c r="N375" s="603"/>
      <c r="O375" s="603"/>
      <c r="P375" s="603"/>
      <c r="Q375" s="595"/>
      <c r="R375" s="595"/>
      <c r="S375" s="595"/>
      <c r="T375" s="595"/>
      <c r="U375" s="595"/>
      <c r="V375" s="595"/>
      <c r="W375" s="594"/>
      <c r="X375" s="594"/>
      <c r="Y375" s="595"/>
      <c r="Z375" s="595"/>
      <c r="AA375" s="595"/>
      <c r="AB375" s="595"/>
      <c r="AC375" s="595"/>
    </row>
    <row r="376" spans="1:29" ht="12.75" customHeight="1">
      <c r="A376" s="601"/>
      <c r="B376" s="602"/>
      <c r="C376" s="602"/>
      <c r="D376" s="602"/>
      <c r="E376" s="602"/>
      <c r="F376" s="602"/>
      <c r="G376" s="602"/>
      <c r="H376" s="602"/>
      <c r="I376" s="602"/>
      <c r="J376" s="602"/>
      <c r="K376" s="602"/>
      <c r="L376" s="603"/>
      <c r="M376" s="603"/>
      <c r="N376" s="603"/>
      <c r="O376" s="603"/>
      <c r="P376" s="603"/>
      <c r="Q376" s="595"/>
      <c r="R376" s="595"/>
      <c r="S376" s="595"/>
      <c r="T376" s="595"/>
      <c r="U376" s="595"/>
      <c r="V376" s="595"/>
      <c r="W376" s="594"/>
      <c r="X376" s="594"/>
      <c r="Y376" s="595"/>
      <c r="Z376" s="595"/>
      <c r="AA376" s="595"/>
      <c r="AB376" s="595"/>
      <c r="AC376" s="595"/>
    </row>
    <row r="377" spans="1:29" ht="12.75" customHeight="1">
      <c r="A377" s="601"/>
      <c r="B377" s="602"/>
      <c r="C377" s="602"/>
      <c r="D377" s="602"/>
      <c r="E377" s="602"/>
      <c r="F377" s="602"/>
      <c r="G377" s="602"/>
      <c r="H377" s="602"/>
      <c r="I377" s="602"/>
      <c r="J377" s="602"/>
      <c r="K377" s="602"/>
      <c r="L377" s="603"/>
      <c r="M377" s="603"/>
      <c r="N377" s="603"/>
      <c r="O377" s="603"/>
      <c r="P377" s="603"/>
      <c r="Q377" s="595"/>
      <c r="R377" s="595"/>
      <c r="S377" s="595"/>
      <c r="T377" s="595"/>
      <c r="U377" s="595"/>
      <c r="V377" s="595"/>
      <c r="W377" s="594"/>
      <c r="X377" s="594"/>
      <c r="Y377" s="595"/>
      <c r="Z377" s="595"/>
      <c r="AA377" s="595"/>
      <c r="AB377" s="595"/>
      <c r="AC377" s="595"/>
    </row>
    <row r="378" spans="1:29" ht="12.75" customHeight="1">
      <c r="A378" s="601"/>
      <c r="B378" s="602"/>
      <c r="C378" s="602"/>
      <c r="D378" s="602"/>
      <c r="E378" s="602"/>
      <c r="F378" s="602"/>
      <c r="G378" s="602"/>
      <c r="H378" s="602"/>
      <c r="I378" s="602"/>
      <c r="J378" s="602"/>
      <c r="K378" s="602"/>
      <c r="L378" s="603"/>
      <c r="M378" s="603"/>
      <c r="N378" s="603"/>
      <c r="O378" s="603"/>
      <c r="P378" s="603"/>
      <c r="Q378" s="595"/>
      <c r="R378" s="595"/>
      <c r="S378" s="595"/>
      <c r="T378" s="595"/>
      <c r="U378" s="595"/>
      <c r="V378" s="595"/>
      <c r="W378" s="594"/>
      <c r="X378" s="594"/>
      <c r="Y378" s="595"/>
      <c r="Z378" s="595"/>
      <c r="AA378" s="595"/>
      <c r="AB378" s="595"/>
      <c r="AC378" s="595"/>
    </row>
    <row r="379" spans="1:29" ht="12.75" customHeight="1">
      <c r="A379" s="601"/>
      <c r="B379" s="602"/>
      <c r="C379" s="602"/>
      <c r="D379" s="602"/>
      <c r="E379" s="602"/>
      <c r="F379" s="602"/>
      <c r="G379" s="602"/>
      <c r="H379" s="602"/>
      <c r="I379" s="602"/>
      <c r="J379" s="602"/>
      <c r="K379" s="602"/>
      <c r="L379" s="603"/>
      <c r="M379" s="603"/>
      <c r="N379" s="603"/>
      <c r="O379" s="603"/>
      <c r="P379" s="603"/>
      <c r="Q379" s="595"/>
      <c r="R379" s="595"/>
      <c r="S379" s="595"/>
      <c r="T379" s="595"/>
      <c r="U379" s="595"/>
      <c r="V379" s="595"/>
      <c r="W379" s="594"/>
      <c r="X379" s="594"/>
      <c r="Y379" s="595"/>
      <c r="Z379" s="595"/>
      <c r="AA379" s="595"/>
      <c r="AB379" s="595"/>
      <c r="AC379" s="595"/>
    </row>
    <row r="380" spans="1:29" ht="12.75" customHeight="1">
      <c r="A380" s="601"/>
      <c r="B380" s="602"/>
      <c r="C380" s="602"/>
      <c r="D380" s="602"/>
      <c r="E380" s="602"/>
      <c r="F380" s="602"/>
      <c r="G380" s="602"/>
      <c r="H380" s="602"/>
      <c r="I380" s="602"/>
      <c r="J380" s="602"/>
      <c r="K380" s="602"/>
      <c r="L380" s="603"/>
      <c r="M380" s="603"/>
      <c r="N380" s="603"/>
      <c r="O380" s="603"/>
      <c r="P380" s="603"/>
      <c r="Q380" s="595"/>
      <c r="R380" s="595"/>
      <c r="S380" s="595"/>
      <c r="T380" s="595"/>
      <c r="U380" s="595"/>
      <c r="V380" s="595"/>
      <c r="W380" s="594"/>
      <c r="X380" s="594"/>
      <c r="Y380" s="595"/>
      <c r="Z380" s="595"/>
      <c r="AA380" s="595"/>
      <c r="AB380" s="595"/>
      <c r="AC380" s="595"/>
    </row>
    <row r="381" spans="1:29" ht="12.75" customHeight="1">
      <c r="A381" s="601"/>
      <c r="B381" s="602"/>
      <c r="C381" s="602"/>
      <c r="D381" s="602"/>
      <c r="E381" s="602"/>
      <c r="F381" s="602"/>
      <c r="G381" s="602"/>
      <c r="H381" s="602"/>
      <c r="I381" s="602"/>
      <c r="J381" s="602"/>
      <c r="K381" s="602"/>
      <c r="L381" s="603"/>
      <c r="M381" s="603"/>
      <c r="N381" s="603"/>
      <c r="O381" s="603"/>
      <c r="P381" s="603"/>
      <c r="Q381" s="595"/>
      <c r="R381" s="595"/>
      <c r="S381" s="595"/>
      <c r="T381" s="595"/>
      <c r="U381" s="595"/>
      <c r="V381" s="595"/>
      <c r="W381" s="594"/>
      <c r="X381" s="594"/>
      <c r="Y381" s="595"/>
      <c r="Z381" s="595"/>
      <c r="AA381" s="595"/>
      <c r="AB381" s="595"/>
      <c r="AC381" s="595"/>
    </row>
    <row r="382" spans="1:29" ht="12.75" customHeight="1">
      <c r="A382" s="601"/>
      <c r="B382" s="602"/>
      <c r="C382" s="602"/>
      <c r="D382" s="602"/>
      <c r="E382" s="602"/>
      <c r="F382" s="602"/>
      <c r="G382" s="602"/>
      <c r="H382" s="602"/>
      <c r="I382" s="602"/>
      <c r="J382" s="602"/>
      <c r="K382" s="602"/>
      <c r="L382" s="603"/>
      <c r="M382" s="603"/>
      <c r="N382" s="603"/>
      <c r="O382" s="603"/>
      <c r="P382" s="603"/>
      <c r="Q382" s="595"/>
      <c r="R382" s="595"/>
      <c r="S382" s="595"/>
      <c r="T382" s="595"/>
      <c r="U382" s="595"/>
      <c r="V382" s="595"/>
      <c r="W382" s="594"/>
      <c r="X382" s="594"/>
      <c r="Y382" s="595"/>
      <c r="Z382" s="595"/>
      <c r="AA382" s="595"/>
      <c r="AB382" s="595"/>
      <c r="AC382" s="595"/>
    </row>
    <row r="383" spans="1:29" ht="12.75" customHeight="1">
      <c r="A383" s="601"/>
      <c r="B383" s="602"/>
      <c r="C383" s="602"/>
      <c r="D383" s="602"/>
      <c r="E383" s="602"/>
      <c r="F383" s="602"/>
      <c r="G383" s="602"/>
      <c r="H383" s="602"/>
      <c r="I383" s="602"/>
      <c r="J383" s="602"/>
      <c r="K383" s="602"/>
      <c r="L383" s="603"/>
      <c r="M383" s="603"/>
      <c r="N383" s="603"/>
      <c r="O383" s="603"/>
      <c r="P383" s="603"/>
      <c r="Q383" s="595"/>
      <c r="R383" s="595"/>
      <c r="S383" s="595"/>
      <c r="T383" s="595"/>
      <c r="U383" s="595"/>
      <c r="V383" s="595"/>
      <c r="W383" s="594"/>
      <c r="X383" s="594"/>
      <c r="Y383" s="595"/>
      <c r="Z383" s="595"/>
      <c r="AA383" s="595"/>
      <c r="AB383" s="595"/>
      <c r="AC383" s="595"/>
    </row>
    <row r="384" spans="1:29" ht="12.75" customHeight="1">
      <c r="A384" s="601"/>
      <c r="B384" s="602"/>
      <c r="C384" s="602"/>
      <c r="D384" s="602"/>
      <c r="E384" s="602"/>
      <c r="F384" s="602"/>
      <c r="G384" s="602"/>
      <c r="H384" s="602"/>
      <c r="I384" s="602"/>
      <c r="J384" s="602"/>
      <c r="K384" s="602"/>
      <c r="L384" s="603"/>
      <c r="M384" s="603"/>
      <c r="N384" s="603"/>
      <c r="O384" s="603"/>
      <c r="P384" s="603"/>
      <c r="Q384" s="595"/>
      <c r="R384" s="595"/>
      <c r="S384" s="595"/>
      <c r="T384" s="595"/>
      <c r="U384" s="595"/>
      <c r="V384" s="595"/>
      <c r="W384" s="594"/>
      <c r="X384" s="594"/>
      <c r="Y384" s="595"/>
      <c r="Z384" s="595"/>
      <c r="AA384" s="595"/>
      <c r="AB384" s="595"/>
      <c r="AC384" s="595"/>
    </row>
    <row r="385" spans="1:29" ht="12.75" customHeight="1">
      <c r="A385" s="601"/>
      <c r="B385" s="602"/>
      <c r="C385" s="602"/>
      <c r="D385" s="602"/>
      <c r="E385" s="602"/>
      <c r="F385" s="602"/>
      <c r="G385" s="602"/>
      <c r="H385" s="602"/>
      <c r="I385" s="602"/>
      <c r="J385" s="602"/>
      <c r="K385" s="602"/>
      <c r="L385" s="603"/>
      <c r="M385" s="603"/>
      <c r="N385" s="603"/>
      <c r="O385" s="603"/>
      <c r="P385" s="603"/>
      <c r="Q385" s="595"/>
      <c r="R385" s="595"/>
      <c r="S385" s="595"/>
      <c r="T385" s="595"/>
      <c r="U385" s="595"/>
      <c r="V385" s="595"/>
      <c r="W385" s="594"/>
      <c r="X385" s="594"/>
      <c r="Y385" s="595"/>
      <c r="Z385" s="595"/>
      <c r="AA385" s="595"/>
      <c r="AB385" s="595"/>
      <c r="AC385" s="595"/>
    </row>
    <row r="386" spans="1:29" ht="12.75" customHeight="1">
      <c r="A386" s="601"/>
      <c r="B386" s="602"/>
      <c r="C386" s="602"/>
      <c r="D386" s="602"/>
      <c r="E386" s="602"/>
      <c r="F386" s="602"/>
      <c r="G386" s="602"/>
      <c r="H386" s="602"/>
      <c r="I386" s="602"/>
      <c r="J386" s="602"/>
      <c r="K386" s="602"/>
      <c r="L386" s="603"/>
      <c r="M386" s="603"/>
      <c r="N386" s="603"/>
      <c r="O386" s="603"/>
      <c r="P386" s="603"/>
      <c r="Q386" s="595"/>
      <c r="R386" s="595"/>
      <c r="S386" s="595"/>
      <c r="T386" s="595"/>
      <c r="U386" s="595"/>
      <c r="V386" s="595"/>
      <c r="W386" s="594"/>
      <c r="X386" s="594"/>
      <c r="Y386" s="595"/>
      <c r="Z386" s="595"/>
      <c r="AA386" s="595"/>
      <c r="AB386" s="595"/>
      <c r="AC386" s="595"/>
    </row>
    <row r="387" spans="1:29" ht="12.75" customHeight="1">
      <c r="A387" s="601"/>
      <c r="B387" s="602"/>
      <c r="C387" s="602"/>
      <c r="D387" s="602"/>
      <c r="E387" s="602"/>
      <c r="F387" s="602"/>
      <c r="G387" s="602"/>
      <c r="H387" s="602"/>
      <c r="I387" s="602"/>
      <c r="J387" s="602"/>
      <c r="K387" s="602"/>
      <c r="L387" s="603"/>
      <c r="M387" s="603"/>
      <c r="N387" s="603"/>
      <c r="O387" s="603"/>
      <c r="P387" s="603"/>
      <c r="Q387" s="595"/>
      <c r="R387" s="595"/>
      <c r="S387" s="595"/>
      <c r="T387" s="595"/>
      <c r="U387" s="595"/>
      <c r="V387" s="595"/>
      <c r="W387" s="594"/>
      <c r="X387" s="594"/>
      <c r="Y387" s="595"/>
      <c r="Z387" s="595"/>
      <c r="AA387" s="595"/>
      <c r="AB387" s="595"/>
      <c r="AC387" s="595"/>
    </row>
    <row r="388" spans="1:29" ht="12.75" customHeight="1">
      <c r="A388" s="601"/>
      <c r="B388" s="602"/>
      <c r="C388" s="602"/>
      <c r="D388" s="602"/>
      <c r="E388" s="602"/>
      <c r="F388" s="602"/>
      <c r="G388" s="602"/>
      <c r="H388" s="602"/>
      <c r="I388" s="602"/>
      <c r="J388" s="602"/>
      <c r="K388" s="602"/>
      <c r="L388" s="603"/>
      <c r="M388" s="603"/>
      <c r="N388" s="603"/>
      <c r="O388" s="603"/>
      <c r="P388" s="603"/>
      <c r="Q388" s="595"/>
      <c r="R388" s="595"/>
      <c r="S388" s="595"/>
      <c r="T388" s="595"/>
      <c r="U388" s="595"/>
      <c r="V388" s="595"/>
      <c r="W388" s="594"/>
      <c r="X388" s="594"/>
      <c r="Y388" s="595"/>
      <c r="Z388" s="595"/>
      <c r="AA388" s="595"/>
      <c r="AB388" s="595"/>
      <c r="AC388" s="595"/>
    </row>
    <row r="389" spans="1:29" ht="12.75" customHeight="1">
      <c r="A389" s="601"/>
      <c r="B389" s="602"/>
      <c r="C389" s="602"/>
      <c r="D389" s="602"/>
      <c r="E389" s="602"/>
      <c r="F389" s="602"/>
      <c r="G389" s="602"/>
      <c r="H389" s="602"/>
      <c r="I389" s="602"/>
      <c r="J389" s="602"/>
      <c r="K389" s="602"/>
      <c r="L389" s="603"/>
      <c r="M389" s="603"/>
      <c r="N389" s="603"/>
      <c r="O389" s="603"/>
      <c r="P389" s="603"/>
      <c r="Q389" s="595"/>
      <c r="R389" s="595"/>
      <c r="S389" s="595"/>
      <c r="T389" s="595"/>
      <c r="U389" s="595"/>
      <c r="V389" s="595"/>
      <c r="W389" s="594"/>
      <c r="X389" s="594"/>
      <c r="Y389" s="595"/>
      <c r="Z389" s="595"/>
      <c r="AA389" s="595"/>
      <c r="AB389" s="595"/>
      <c r="AC389" s="595"/>
    </row>
    <row r="390" spans="1:29" ht="12.75" customHeight="1">
      <c r="A390" s="601"/>
      <c r="B390" s="602"/>
      <c r="C390" s="602"/>
      <c r="D390" s="602"/>
      <c r="E390" s="602"/>
      <c r="F390" s="602"/>
      <c r="G390" s="602"/>
      <c r="H390" s="602"/>
      <c r="I390" s="602"/>
      <c r="J390" s="602"/>
      <c r="K390" s="602"/>
      <c r="L390" s="603"/>
      <c r="M390" s="603"/>
      <c r="N390" s="603"/>
      <c r="O390" s="603"/>
      <c r="P390" s="603"/>
      <c r="Q390" s="595"/>
      <c r="R390" s="595"/>
      <c r="S390" s="595"/>
      <c r="T390" s="595"/>
      <c r="U390" s="595"/>
      <c r="V390" s="595"/>
      <c r="W390" s="594"/>
      <c r="X390" s="594"/>
      <c r="Y390" s="595"/>
      <c r="Z390" s="595"/>
      <c r="AA390" s="595"/>
      <c r="AB390" s="595"/>
      <c r="AC390" s="595"/>
    </row>
    <row r="391" spans="1:29" ht="12.75" customHeight="1">
      <c r="A391" s="601"/>
      <c r="B391" s="602"/>
      <c r="C391" s="602"/>
      <c r="D391" s="602"/>
      <c r="E391" s="602"/>
      <c r="F391" s="602"/>
      <c r="G391" s="602"/>
      <c r="H391" s="602"/>
      <c r="I391" s="602"/>
      <c r="J391" s="602"/>
      <c r="K391" s="602"/>
      <c r="L391" s="603"/>
      <c r="M391" s="603"/>
      <c r="N391" s="603"/>
      <c r="O391" s="603"/>
      <c r="P391" s="603"/>
      <c r="Q391" s="595"/>
      <c r="R391" s="595"/>
      <c r="S391" s="595"/>
      <c r="T391" s="595"/>
      <c r="U391" s="595"/>
      <c r="V391" s="595"/>
      <c r="W391" s="594"/>
      <c r="X391" s="594"/>
      <c r="Y391" s="595"/>
      <c r="Z391" s="595"/>
      <c r="AA391" s="595"/>
      <c r="AB391" s="595"/>
      <c r="AC391" s="595"/>
    </row>
    <row r="392" spans="1:29" ht="12.75" customHeight="1">
      <c r="A392" s="601"/>
      <c r="B392" s="602"/>
      <c r="C392" s="602"/>
      <c r="D392" s="602"/>
      <c r="E392" s="602"/>
      <c r="F392" s="602"/>
      <c r="G392" s="602"/>
      <c r="H392" s="602"/>
      <c r="I392" s="602"/>
      <c r="J392" s="602"/>
      <c r="K392" s="602"/>
      <c r="L392" s="603"/>
      <c r="M392" s="603"/>
      <c r="N392" s="603"/>
      <c r="O392" s="603"/>
      <c r="P392" s="603"/>
      <c r="Q392" s="595"/>
      <c r="R392" s="595"/>
      <c r="S392" s="595"/>
      <c r="T392" s="595"/>
      <c r="U392" s="595"/>
      <c r="V392" s="595"/>
      <c r="W392" s="594"/>
      <c r="X392" s="594"/>
      <c r="Y392" s="595"/>
      <c r="Z392" s="595"/>
      <c r="AA392" s="595"/>
      <c r="AB392" s="595"/>
      <c r="AC392" s="595"/>
    </row>
    <row r="393" spans="1:29" ht="12.75" customHeight="1">
      <c r="A393" s="601"/>
      <c r="B393" s="602"/>
      <c r="C393" s="602"/>
      <c r="D393" s="602"/>
      <c r="E393" s="602"/>
      <c r="F393" s="602"/>
      <c r="G393" s="602"/>
      <c r="H393" s="602"/>
      <c r="I393" s="602"/>
      <c r="J393" s="602"/>
      <c r="K393" s="602"/>
      <c r="L393" s="603"/>
      <c r="M393" s="603"/>
      <c r="N393" s="603"/>
      <c r="O393" s="603"/>
      <c r="P393" s="603"/>
      <c r="Q393" s="595"/>
      <c r="R393" s="595"/>
      <c r="S393" s="595"/>
      <c r="T393" s="595"/>
      <c r="U393" s="595"/>
      <c r="V393" s="595"/>
      <c r="W393" s="594"/>
      <c r="X393" s="594"/>
      <c r="Y393" s="595"/>
      <c r="Z393" s="595"/>
      <c r="AA393" s="595"/>
      <c r="AB393" s="595"/>
      <c r="AC393" s="595"/>
    </row>
    <row r="394" spans="1:29" ht="12.75" customHeight="1">
      <c r="A394" s="601"/>
      <c r="B394" s="602"/>
      <c r="C394" s="602"/>
      <c r="D394" s="602"/>
      <c r="E394" s="602"/>
      <c r="F394" s="602"/>
      <c r="G394" s="602"/>
      <c r="H394" s="602"/>
      <c r="I394" s="602"/>
      <c r="J394" s="602"/>
      <c r="K394" s="602"/>
      <c r="L394" s="603"/>
      <c r="M394" s="603"/>
      <c r="N394" s="603"/>
      <c r="O394" s="603"/>
      <c r="P394" s="603"/>
      <c r="Q394" s="595"/>
      <c r="R394" s="595"/>
      <c r="S394" s="595"/>
      <c r="T394" s="595"/>
      <c r="U394" s="595"/>
      <c r="V394" s="595"/>
      <c r="W394" s="594"/>
      <c r="X394" s="594"/>
      <c r="Y394" s="595"/>
      <c r="Z394" s="595"/>
      <c r="AA394" s="595"/>
      <c r="AB394" s="595"/>
      <c r="AC394" s="595"/>
    </row>
    <row r="395" spans="1:29" ht="12.75" customHeight="1">
      <c r="A395" s="601"/>
      <c r="B395" s="602"/>
      <c r="C395" s="602"/>
      <c r="D395" s="602"/>
      <c r="E395" s="602"/>
      <c r="F395" s="602"/>
      <c r="G395" s="602"/>
      <c r="H395" s="602"/>
      <c r="I395" s="602"/>
      <c r="J395" s="602"/>
      <c r="K395" s="602"/>
      <c r="L395" s="603"/>
      <c r="M395" s="603"/>
      <c r="N395" s="603"/>
      <c r="O395" s="603"/>
      <c r="P395" s="603"/>
      <c r="Q395" s="595"/>
      <c r="R395" s="595"/>
      <c r="S395" s="595"/>
      <c r="T395" s="595"/>
      <c r="U395" s="595"/>
      <c r="V395" s="595"/>
      <c r="W395" s="594"/>
      <c r="X395" s="594"/>
      <c r="Y395" s="595"/>
      <c r="Z395" s="595"/>
      <c r="AA395" s="595"/>
      <c r="AB395" s="595"/>
      <c r="AC395" s="595"/>
    </row>
    <row r="396" spans="1:29" ht="12.75" customHeight="1">
      <c r="A396" s="601"/>
      <c r="B396" s="602"/>
      <c r="C396" s="602"/>
      <c r="D396" s="602"/>
      <c r="E396" s="602"/>
      <c r="F396" s="602"/>
      <c r="G396" s="602"/>
      <c r="H396" s="602"/>
      <c r="I396" s="602"/>
      <c r="J396" s="602"/>
      <c r="K396" s="602"/>
      <c r="L396" s="603"/>
      <c r="M396" s="603"/>
      <c r="N396" s="603"/>
      <c r="O396" s="603"/>
      <c r="P396" s="603"/>
      <c r="Q396" s="595"/>
      <c r="R396" s="595"/>
      <c r="S396" s="595"/>
      <c r="T396" s="595"/>
      <c r="U396" s="595"/>
      <c r="V396" s="595"/>
      <c r="W396" s="594"/>
      <c r="X396" s="594"/>
      <c r="Y396" s="595"/>
      <c r="Z396" s="595"/>
      <c r="AA396" s="595"/>
      <c r="AB396" s="595"/>
      <c r="AC396" s="595"/>
    </row>
    <row r="397" spans="1:29" ht="12.75" customHeight="1">
      <c r="A397" s="601"/>
      <c r="B397" s="602"/>
      <c r="C397" s="602"/>
      <c r="D397" s="602"/>
      <c r="E397" s="602"/>
      <c r="F397" s="602"/>
      <c r="G397" s="602"/>
      <c r="H397" s="602"/>
      <c r="I397" s="602"/>
      <c r="J397" s="602"/>
      <c r="K397" s="602"/>
      <c r="L397" s="603"/>
      <c r="M397" s="603"/>
      <c r="N397" s="603"/>
      <c r="O397" s="603"/>
      <c r="P397" s="603"/>
      <c r="Q397" s="595"/>
      <c r="R397" s="595"/>
      <c r="S397" s="595"/>
      <c r="T397" s="595"/>
      <c r="U397" s="595"/>
      <c r="V397" s="595"/>
      <c r="W397" s="594"/>
      <c r="X397" s="594"/>
      <c r="Y397" s="595"/>
      <c r="Z397" s="595"/>
      <c r="AA397" s="595"/>
      <c r="AB397" s="595"/>
      <c r="AC397" s="595"/>
    </row>
    <row r="398" spans="1:29" ht="12.75" customHeight="1">
      <c r="A398" s="601"/>
      <c r="B398" s="602"/>
      <c r="C398" s="602"/>
      <c r="D398" s="602"/>
      <c r="E398" s="602"/>
      <c r="F398" s="602"/>
      <c r="G398" s="602"/>
      <c r="H398" s="602"/>
      <c r="I398" s="602"/>
      <c r="J398" s="602"/>
      <c r="K398" s="602"/>
      <c r="L398" s="603"/>
      <c r="M398" s="603"/>
      <c r="N398" s="603"/>
      <c r="O398" s="603"/>
      <c r="P398" s="603"/>
      <c r="Q398" s="595"/>
      <c r="R398" s="595"/>
      <c r="S398" s="595"/>
      <c r="T398" s="595"/>
      <c r="U398" s="595"/>
      <c r="V398" s="595"/>
      <c r="W398" s="594"/>
      <c r="X398" s="594"/>
      <c r="Y398" s="595"/>
      <c r="Z398" s="595"/>
      <c r="AA398" s="595"/>
      <c r="AB398" s="595"/>
      <c r="AC398" s="595"/>
    </row>
    <row r="399" spans="1:29" ht="12.75" customHeight="1">
      <c r="A399" s="601"/>
      <c r="B399" s="602"/>
      <c r="C399" s="602"/>
      <c r="D399" s="602"/>
      <c r="E399" s="602"/>
      <c r="F399" s="602"/>
      <c r="G399" s="602"/>
      <c r="H399" s="602"/>
      <c r="I399" s="602"/>
      <c r="J399" s="602"/>
      <c r="K399" s="602"/>
      <c r="L399" s="603"/>
      <c r="M399" s="603"/>
      <c r="N399" s="603"/>
      <c r="O399" s="603"/>
      <c r="P399" s="603"/>
      <c r="Q399" s="595"/>
      <c r="R399" s="595"/>
      <c r="S399" s="595"/>
      <c r="T399" s="595"/>
      <c r="U399" s="595"/>
      <c r="V399" s="595"/>
      <c r="W399" s="594"/>
      <c r="X399" s="594"/>
      <c r="Y399" s="595"/>
      <c r="Z399" s="595"/>
      <c r="AA399" s="595"/>
      <c r="AB399" s="595"/>
      <c r="AC399" s="595"/>
    </row>
    <row r="400" spans="1:29" ht="12.75" customHeight="1">
      <c r="A400" s="601"/>
      <c r="B400" s="602"/>
      <c r="C400" s="602"/>
      <c r="D400" s="602"/>
      <c r="E400" s="602"/>
      <c r="F400" s="602"/>
      <c r="G400" s="602"/>
      <c r="H400" s="602"/>
      <c r="I400" s="602"/>
      <c r="J400" s="602"/>
      <c r="K400" s="602"/>
      <c r="L400" s="603"/>
      <c r="M400" s="603"/>
      <c r="N400" s="603"/>
      <c r="O400" s="603"/>
      <c r="P400" s="603"/>
      <c r="Q400" s="595"/>
      <c r="R400" s="595"/>
      <c r="S400" s="595"/>
      <c r="T400" s="595"/>
      <c r="U400" s="595"/>
      <c r="V400" s="595"/>
      <c r="W400" s="594"/>
      <c r="X400" s="594"/>
      <c r="Y400" s="595"/>
      <c r="Z400" s="595"/>
      <c r="AA400" s="595"/>
      <c r="AB400" s="595"/>
      <c r="AC400" s="595"/>
    </row>
    <row r="401" spans="1:29" ht="12.75" customHeight="1">
      <c r="A401" s="601"/>
      <c r="B401" s="602"/>
      <c r="C401" s="602"/>
      <c r="D401" s="602"/>
      <c r="E401" s="602"/>
      <c r="F401" s="602"/>
      <c r="G401" s="602"/>
      <c r="H401" s="602"/>
      <c r="I401" s="602"/>
      <c r="J401" s="602"/>
      <c r="K401" s="602"/>
      <c r="L401" s="603"/>
      <c r="M401" s="603"/>
      <c r="N401" s="603"/>
      <c r="O401" s="603"/>
      <c r="P401" s="603"/>
      <c r="Q401" s="595"/>
      <c r="R401" s="595"/>
      <c r="S401" s="595"/>
      <c r="T401" s="595"/>
      <c r="U401" s="595"/>
      <c r="V401" s="595"/>
      <c r="W401" s="594"/>
      <c r="X401" s="594"/>
      <c r="Y401" s="595"/>
      <c r="Z401" s="595"/>
      <c r="AA401" s="595"/>
      <c r="AB401" s="595"/>
      <c r="AC401" s="595"/>
    </row>
    <row r="402" spans="1:29" ht="12.75" customHeight="1">
      <c r="A402" s="601"/>
      <c r="B402" s="602"/>
      <c r="C402" s="602"/>
      <c r="D402" s="602"/>
      <c r="E402" s="602"/>
      <c r="F402" s="602"/>
      <c r="G402" s="602"/>
      <c r="H402" s="602"/>
      <c r="I402" s="602"/>
      <c r="J402" s="602"/>
      <c r="K402" s="602"/>
      <c r="L402" s="603"/>
      <c r="M402" s="603"/>
      <c r="N402" s="603"/>
      <c r="O402" s="603"/>
      <c r="P402" s="603"/>
      <c r="Q402" s="595"/>
      <c r="R402" s="595"/>
      <c r="S402" s="595"/>
      <c r="T402" s="595"/>
      <c r="U402" s="595"/>
      <c r="V402" s="595"/>
      <c r="W402" s="594"/>
      <c r="X402" s="594"/>
      <c r="Y402" s="595"/>
      <c r="Z402" s="595"/>
      <c r="AA402" s="595"/>
      <c r="AB402" s="595"/>
      <c r="AC402" s="595"/>
    </row>
    <row r="403" spans="1:29" ht="12.75" customHeight="1">
      <c r="A403" s="601"/>
      <c r="B403" s="602"/>
      <c r="C403" s="602"/>
      <c r="D403" s="602"/>
      <c r="E403" s="602"/>
      <c r="F403" s="602"/>
      <c r="G403" s="602"/>
      <c r="H403" s="602"/>
      <c r="I403" s="602"/>
      <c r="J403" s="602"/>
      <c r="K403" s="602"/>
      <c r="L403" s="603"/>
      <c r="M403" s="603"/>
      <c r="N403" s="603"/>
      <c r="O403" s="603"/>
      <c r="P403" s="603"/>
      <c r="Q403" s="595"/>
      <c r="R403" s="595"/>
      <c r="S403" s="595"/>
      <c r="T403" s="595"/>
      <c r="U403" s="595"/>
      <c r="V403" s="595"/>
      <c r="W403" s="594"/>
      <c r="X403" s="594"/>
      <c r="Y403" s="595"/>
      <c r="Z403" s="595"/>
      <c r="AA403" s="595"/>
      <c r="AB403" s="595"/>
      <c r="AC403" s="595"/>
    </row>
    <row r="404" spans="1:29" ht="12.75" customHeight="1">
      <c r="A404" s="601"/>
      <c r="B404" s="602"/>
      <c r="C404" s="602"/>
      <c r="D404" s="602"/>
      <c r="E404" s="602"/>
      <c r="F404" s="602"/>
      <c r="G404" s="602"/>
      <c r="H404" s="602"/>
      <c r="I404" s="602"/>
      <c r="J404" s="602"/>
      <c r="K404" s="602"/>
      <c r="L404" s="603"/>
      <c r="M404" s="603"/>
      <c r="N404" s="603"/>
      <c r="O404" s="603"/>
      <c r="P404" s="603"/>
      <c r="Q404" s="595"/>
      <c r="R404" s="595"/>
      <c r="S404" s="595"/>
      <c r="T404" s="595"/>
      <c r="U404" s="595"/>
      <c r="V404" s="595"/>
      <c r="W404" s="594"/>
      <c r="X404" s="594"/>
      <c r="Y404" s="595"/>
      <c r="Z404" s="595"/>
      <c r="AA404" s="595"/>
      <c r="AB404" s="595"/>
      <c r="AC404" s="595"/>
    </row>
    <row r="405" spans="1:29" ht="12.75" customHeight="1">
      <c r="A405" s="601"/>
      <c r="B405" s="602"/>
      <c r="C405" s="602"/>
      <c r="D405" s="602"/>
      <c r="E405" s="602"/>
      <c r="F405" s="602"/>
      <c r="G405" s="602"/>
      <c r="H405" s="602"/>
      <c r="I405" s="602"/>
      <c r="J405" s="602"/>
      <c r="K405" s="602"/>
      <c r="L405" s="603"/>
      <c r="M405" s="603"/>
      <c r="N405" s="603"/>
      <c r="O405" s="603"/>
      <c r="P405" s="603"/>
      <c r="Q405" s="595"/>
      <c r="R405" s="595"/>
      <c r="S405" s="595"/>
      <c r="T405" s="595"/>
      <c r="U405" s="595"/>
      <c r="V405" s="595"/>
      <c r="W405" s="594"/>
      <c r="X405" s="594"/>
      <c r="Y405" s="595"/>
      <c r="Z405" s="595"/>
      <c r="AA405" s="595"/>
      <c r="AB405" s="595"/>
      <c r="AC405" s="595"/>
    </row>
    <row r="406" spans="1:29" ht="12.75" customHeight="1">
      <c r="A406" s="601"/>
      <c r="B406" s="602"/>
      <c r="C406" s="602"/>
      <c r="D406" s="602"/>
      <c r="E406" s="602"/>
      <c r="F406" s="602"/>
      <c r="G406" s="602"/>
      <c r="H406" s="602"/>
      <c r="I406" s="602"/>
      <c r="J406" s="602"/>
      <c r="K406" s="602"/>
      <c r="L406" s="603"/>
      <c r="M406" s="603"/>
      <c r="N406" s="603"/>
      <c r="O406" s="603"/>
      <c r="P406" s="603"/>
      <c r="Q406" s="595"/>
      <c r="R406" s="595"/>
      <c r="S406" s="595"/>
      <c r="T406" s="595"/>
      <c r="U406" s="595"/>
      <c r="V406" s="595"/>
      <c r="W406" s="594"/>
      <c r="X406" s="594"/>
      <c r="Y406" s="595"/>
      <c r="Z406" s="595"/>
      <c r="AA406" s="595"/>
      <c r="AB406" s="595"/>
      <c r="AC406" s="595"/>
    </row>
    <row r="407" spans="1:29" ht="12.75" customHeight="1">
      <c r="A407" s="601"/>
      <c r="B407" s="602"/>
      <c r="C407" s="602"/>
      <c r="D407" s="602"/>
      <c r="E407" s="602"/>
      <c r="F407" s="602"/>
      <c r="G407" s="602"/>
      <c r="H407" s="602"/>
      <c r="I407" s="602"/>
      <c r="J407" s="602"/>
      <c r="K407" s="602"/>
      <c r="L407" s="603"/>
      <c r="M407" s="603"/>
      <c r="N407" s="603"/>
      <c r="O407" s="603"/>
      <c r="P407" s="603"/>
      <c r="Q407" s="595"/>
      <c r="R407" s="595"/>
      <c r="S407" s="595"/>
      <c r="T407" s="595"/>
      <c r="U407" s="595"/>
      <c r="V407" s="595"/>
      <c r="W407" s="594"/>
      <c r="X407" s="594"/>
      <c r="Y407" s="595"/>
      <c r="Z407" s="595"/>
      <c r="AA407" s="595"/>
      <c r="AB407" s="595"/>
      <c r="AC407" s="595"/>
    </row>
    <row r="408" spans="1:29" ht="12.75" customHeight="1">
      <c r="A408" s="601"/>
      <c r="B408" s="602"/>
      <c r="C408" s="602"/>
      <c r="D408" s="602"/>
      <c r="E408" s="602"/>
      <c r="F408" s="602"/>
      <c r="G408" s="602"/>
      <c r="H408" s="602"/>
      <c r="I408" s="602"/>
      <c r="J408" s="602"/>
      <c r="K408" s="602"/>
      <c r="L408" s="603"/>
      <c r="M408" s="603"/>
      <c r="N408" s="603"/>
      <c r="O408" s="603"/>
      <c r="P408" s="603"/>
      <c r="Q408" s="595"/>
      <c r="R408" s="595"/>
      <c r="S408" s="595"/>
      <c r="T408" s="595"/>
      <c r="U408" s="595"/>
      <c r="V408" s="595"/>
      <c r="W408" s="594"/>
      <c r="X408" s="594"/>
      <c r="Y408" s="595"/>
      <c r="Z408" s="595"/>
      <c r="AA408" s="595"/>
      <c r="AB408" s="595"/>
      <c r="AC408" s="595"/>
    </row>
    <row r="409" spans="1:29" ht="12.75" customHeight="1">
      <c r="A409" s="601"/>
      <c r="B409" s="602"/>
      <c r="C409" s="602"/>
      <c r="D409" s="602"/>
      <c r="E409" s="602"/>
      <c r="F409" s="602"/>
      <c r="G409" s="602"/>
      <c r="H409" s="602"/>
      <c r="I409" s="602"/>
      <c r="J409" s="602"/>
      <c r="K409" s="602"/>
      <c r="L409" s="603"/>
      <c r="M409" s="603"/>
      <c r="N409" s="603"/>
      <c r="O409" s="603"/>
      <c r="P409" s="603"/>
      <c r="Q409" s="595"/>
      <c r="R409" s="595"/>
      <c r="S409" s="595"/>
      <c r="T409" s="595"/>
      <c r="U409" s="595"/>
      <c r="V409" s="595"/>
      <c r="W409" s="594"/>
      <c r="X409" s="594"/>
      <c r="Y409" s="595"/>
      <c r="Z409" s="595"/>
      <c r="AA409" s="595"/>
      <c r="AB409" s="595"/>
      <c r="AC409" s="595"/>
    </row>
    <row r="410" spans="1:29" ht="12.75" customHeight="1">
      <c r="A410" s="601"/>
      <c r="B410" s="602"/>
      <c r="C410" s="602"/>
      <c r="D410" s="602"/>
      <c r="E410" s="602"/>
      <c r="F410" s="602"/>
      <c r="G410" s="602"/>
      <c r="H410" s="602"/>
      <c r="I410" s="602"/>
      <c r="J410" s="602"/>
      <c r="K410" s="602"/>
      <c r="L410" s="603"/>
      <c r="M410" s="603"/>
      <c r="N410" s="603"/>
      <c r="O410" s="603"/>
      <c r="P410" s="603"/>
      <c r="Q410" s="595"/>
      <c r="R410" s="595"/>
      <c r="S410" s="595"/>
      <c r="T410" s="595"/>
      <c r="U410" s="595"/>
      <c r="V410" s="595"/>
      <c r="W410" s="594"/>
      <c r="X410" s="594"/>
      <c r="Y410" s="595"/>
      <c r="Z410" s="595"/>
      <c r="AA410" s="595"/>
      <c r="AB410" s="595"/>
      <c r="AC410" s="595"/>
    </row>
    <row r="411" spans="1:29" ht="12.75" customHeight="1">
      <c r="A411" s="601"/>
      <c r="B411" s="602"/>
      <c r="C411" s="602"/>
      <c r="D411" s="602"/>
      <c r="E411" s="602"/>
      <c r="F411" s="602"/>
      <c r="G411" s="602"/>
      <c r="H411" s="602"/>
      <c r="I411" s="602"/>
      <c r="J411" s="602"/>
      <c r="K411" s="602"/>
      <c r="L411" s="603"/>
      <c r="M411" s="603"/>
      <c r="N411" s="603"/>
      <c r="O411" s="603"/>
      <c r="P411" s="603"/>
      <c r="Q411" s="595"/>
      <c r="R411" s="595"/>
      <c r="S411" s="595"/>
      <c r="T411" s="595"/>
      <c r="U411" s="595"/>
      <c r="V411" s="595"/>
      <c r="W411" s="594"/>
      <c r="X411" s="594"/>
      <c r="Y411" s="595"/>
      <c r="Z411" s="595"/>
      <c r="AA411" s="595"/>
      <c r="AB411" s="595"/>
      <c r="AC411" s="595"/>
    </row>
    <row r="412" spans="1:29" ht="12.75" customHeight="1">
      <c r="A412" s="601"/>
      <c r="B412" s="602"/>
      <c r="C412" s="602"/>
      <c r="D412" s="602"/>
      <c r="E412" s="602"/>
      <c r="F412" s="602"/>
      <c r="G412" s="602"/>
      <c r="H412" s="602"/>
      <c r="I412" s="602"/>
      <c r="J412" s="602"/>
      <c r="K412" s="602"/>
      <c r="L412" s="603"/>
      <c r="M412" s="603"/>
      <c r="N412" s="603"/>
      <c r="O412" s="603"/>
      <c r="P412" s="603"/>
      <c r="Q412" s="595"/>
      <c r="R412" s="595"/>
      <c r="S412" s="595"/>
      <c r="T412" s="595"/>
      <c r="U412" s="595"/>
      <c r="V412" s="595"/>
      <c r="W412" s="594"/>
      <c r="X412" s="594"/>
      <c r="Y412" s="595"/>
      <c r="Z412" s="595"/>
      <c r="AA412" s="595"/>
      <c r="AB412" s="595"/>
      <c r="AC412" s="595"/>
    </row>
    <row r="413" spans="1:29" ht="12.75" customHeight="1">
      <c r="A413" s="601"/>
      <c r="B413" s="602"/>
      <c r="C413" s="602"/>
      <c r="D413" s="602"/>
      <c r="E413" s="602"/>
      <c r="F413" s="602"/>
      <c r="G413" s="602"/>
      <c r="H413" s="602"/>
      <c r="I413" s="602"/>
      <c r="J413" s="602"/>
      <c r="K413" s="602"/>
      <c r="L413" s="603"/>
      <c r="M413" s="603"/>
      <c r="N413" s="603"/>
      <c r="O413" s="603"/>
      <c r="P413" s="603"/>
      <c r="Q413" s="595"/>
      <c r="R413" s="595"/>
      <c r="S413" s="595"/>
      <c r="T413" s="595"/>
      <c r="U413" s="595"/>
      <c r="V413" s="595"/>
      <c r="W413" s="594"/>
      <c r="X413" s="594"/>
      <c r="Y413" s="595"/>
      <c r="Z413" s="595"/>
      <c r="AA413" s="595"/>
      <c r="AB413" s="595"/>
      <c r="AC413" s="595"/>
    </row>
    <row r="414" spans="1:29" ht="12.75" customHeight="1">
      <c r="A414" s="601"/>
      <c r="B414" s="602"/>
      <c r="C414" s="602"/>
      <c r="D414" s="602"/>
      <c r="E414" s="602"/>
      <c r="F414" s="602"/>
      <c r="G414" s="602"/>
      <c r="H414" s="602"/>
      <c r="I414" s="602"/>
      <c r="J414" s="602"/>
      <c r="K414" s="602"/>
      <c r="L414" s="603"/>
      <c r="M414" s="603"/>
      <c r="N414" s="603"/>
      <c r="O414" s="603"/>
      <c r="P414" s="603"/>
      <c r="Q414" s="595"/>
      <c r="R414" s="595"/>
      <c r="S414" s="595"/>
      <c r="T414" s="595"/>
      <c r="U414" s="595"/>
      <c r="V414" s="595"/>
      <c r="W414" s="594"/>
      <c r="X414" s="594"/>
      <c r="Y414" s="595"/>
      <c r="Z414" s="595"/>
      <c r="AA414" s="595"/>
      <c r="AB414" s="595"/>
      <c r="AC414" s="595"/>
    </row>
    <row r="415" spans="1:29" ht="12.75" customHeight="1">
      <c r="A415" s="601"/>
      <c r="B415" s="602"/>
      <c r="C415" s="602"/>
      <c r="D415" s="602"/>
      <c r="E415" s="602"/>
      <c r="F415" s="602"/>
      <c r="G415" s="602"/>
      <c r="H415" s="602"/>
      <c r="I415" s="602"/>
      <c r="J415" s="602"/>
      <c r="K415" s="602"/>
      <c r="L415" s="603"/>
      <c r="M415" s="603"/>
      <c r="N415" s="603"/>
      <c r="O415" s="603"/>
      <c r="P415" s="603"/>
      <c r="Q415" s="595"/>
      <c r="R415" s="595"/>
      <c r="S415" s="595"/>
      <c r="T415" s="595"/>
      <c r="U415" s="595"/>
      <c r="V415" s="595"/>
      <c r="W415" s="594"/>
      <c r="X415" s="594"/>
      <c r="Y415" s="595"/>
      <c r="Z415" s="595"/>
      <c r="AA415" s="595"/>
      <c r="AB415" s="595"/>
      <c r="AC415" s="595"/>
    </row>
    <row r="416" spans="1:29" ht="12.75" customHeight="1">
      <c r="A416" s="601"/>
      <c r="B416" s="602"/>
      <c r="C416" s="602"/>
      <c r="D416" s="602"/>
      <c r="E416" s="602"/>
      <c r="F416" s="602"/>
      <c r="G416" s="602"/>
      <c r="H416" s="602"/>
      <c r="I416" s="602"/>
      <c r="J416" s="602"/>
      <c r="K416" s="602"/>
      <c r="L416" s="603"/>
      <c r="M416" s="603"/>
      <c r="N416" s="603"/>
      <c r="O416" s="603"/>
      <c r="P416" s="603"/>
      <c r="Q416" s="595"/>
      <c r="R416" s="595"/>
      <c r="S416" s="595"/>
      <c r="T416" s="595"/>
      <c r="U416" s="595"/>
      <c r="V416" s="595"/>
      <c r="W416" s="594"/>
      <c r="X416" s="594"/>
      <c r="Y416" s="595"/>
      <c r="Z416" s="595"/>
      <c r="AA416" s="595"/>
      <c r="AB416" s="595"/>
      <c r="AC416" s="595"/>
    </row>
    <row r="417" spans="1:29" ht="12.75" customHeight="1">
      <c r="A417" s="601"/>
      <c r="B417" s="602"/>
      <c r="C417" s="602"/>
      <c r="D417" s="602"/>
      <c r="E417" s="602"/>
      <c r="F417" s="602"/>
      <c r="G417" s="602"/>
      <c r="H417" s="602"/>
      <c r="I417" s="602"/>
      <c r="J417" s="602"/>
      <c r="K417" s="602"/>
      <c r="L417" s="603"/>
      <c r="M417" s="603"/>
      <c r="N417" s="603"/>
      <c r="O417" s="603"/>
      <c r="P417" s="603"/>
      <c r="Q417" s="595"/>
      <c r="R417" s="595"/>
      <c r="S417" s="595"/>
      <c r="T417" s="595"/>
      <c r="U417" s="595"/>
      <c r="V417" s="595"/>
      <c r="W417" s="594"/>
      <c r="X417" s="594"/>
      <c r="Y417" s="595"/>
      <c r="Z417" s="595"/>
      <c r="AA417" s="595"/>
      <c r="AB417" s="595"/>
      <c r="AC417" s="595"/>
    </row>
    <row r="418" spans="1:29" ht="12.75" customHeight="1">
      <c r="A418" s="601"/>
      <c r="B418" s="602"/>
      <c r="C418" s="602"/>
      <c r="D418" s="602"/>
      <c r="E418" s="602"/>
      <c r="F418" s="602"/>
      <c r="G418" s="602"/>
      <c r="H418" s="602"/>
      <c r="I418" s="602"/>
      <c r="J418" s="602"/>
      <c r="K418" s="602"/>
      <c r="L418" s="603"/>
      <c r="M418" s="603"/>
      <c r="N418" s="603"/>
      <c r="O418" s="603"/>
      <c r="P418" s="603"/>
      <c r="Q418" s="595"/>
      <c r="R418" s="595"/>
      <c r="S418" s="595"/>
      <c r="T418" s="595"/>
      <c r="U418" s="595"/>
      <c r="V418" s="595"/>
      <c r="W418" s="594"/>
      <c r="X418" s="594"/>
      <c r="Y418" s="595"/>
      <c r="Z418" s="595"/>
      <c r="AA418" s="595"/>
      <c r="AB418" s="595"/>
      <c r="AC418" s="595"/>
    </row>
    <row r="419" spans="1:29" ht="12.75" customHeight="1">
      <c r="A419" s="601"/>
      <c r="B419" s="602"/>
      <c r="C419" s="602"/>
      <c r="D419" s="602"/>
      <c r="E419" s="602"/>
      <c r="F419" s="602"/>
      <c r="G419" s="602"/>
      <c r="H419" s="602"/>
      <c r="I419" s="602"/>
      <c r="J419" s="602"/>
      <c r="K419" s="602"/>
      <c r="L419" s="603"/>
      <c r="M419" s="603"/>
      <c r="N419" s="603"/>
      <c r="O419" s="603"/>
      <c r="P419" s="603"/>
      <c r="Q419" s="595"/>
      <c r="R419" s="595"/>
      <c r="S419" s="595"/>
      <c r="T419" s="595"/>
      <c r="U419" s="595"/>
      <c r="V419" s="595"/>
      <c r="W419" s="594"/>
      <c r="X419" s="594"/>
      <c r="Y419" s="595"/>
      <c r="Z419" s="595"/>
      <c r="AA419" s="595"/>
      <c r="AB419" s="595"/>
      <c r="AC419" s="595"/>
    </row>
    <row r="420" spans="1:29" ht="12.75" customHeight="1">
      <c r="A420" s="601"/>
      <c r="B420" s="602"/>
      <c r="C420" s="602"/>
      <c r="D420" s="602"/>
      <c r="E420" s="602"/>
      <c r="F420" s="602"/>
      <c r="G420" s="602"/>
      <c r="H420" s="602"/>
      <c r="I420" s="602"/>
      <c r="J420" s="602"/>
      <c r="K420" s="602"/>
      <c r="L420" s="603"/>
      <c r="M420" s="603"/>
      <c r="N420" s="603"/>
      <c r="O420" s="603"/>
      <c r="P420" s="603"/>
      <c r="Q420" s="595"/>
      <c r="R420" s="595"/>
      <c r="S420" s="595"/>
      <c r="T420" s="595"/>
      <c r="U420" s="595"/>
      <c r="V420" s="595"/>
      <c r="W420" s="594"/>
      <c r="X420" s="594"/>
      <c r="Y420" s="595"/>
      <c r="Z420" s="595"/>
      <c r="AA420" s="595"/>
      <c r="AB420" s="595"/>
      <c r="AC420" s="595"/>
    </row>
    <row r="421" spans="1:29" ht="12.75" customHeight="1">
      <c r="A421" s="601"/>
      <c r="B421" s="602"/>
      <c r="C421" s="602"/>
      <c r="D421" s="602"/>
      <c r="E421" s="602"/>
      <c r="F421" s="602"/>
      <c r="G421" s="602"/>
      <c r="H421" s="602"/>
      <c r="I421" s="602"/>
      <c r="J421" s="602"/>
      <c r="K421" s="602"/>
      <c r="L421" s="603"/>
      <c r="M421" s="603"/>
      <c r="N421" s="603"/>
      <c r="O421" s="603"/>
      <c r="P421" s="603"/>
      <c r="Q421" s="595"/>
      <c r="R421" s="595"/>
      <c r="S421" s="595"/>
      <c r="T421" s="595"/>
      <c r="U421" s="595"/>
      <c r="V421" s="595"/>
      <c r="W421" s="594"/>
      <c r="X421" s="594"/>
      <c r="Y421" s="595"/>
      <c r="Z421" s="595"/>
      <c r="AA421" s="595"/>
      <c r="AB421" s="595"/>
      <c r="AC421" s="595"/>
    </row>
    <row r="422" spans="1:29" ht="12.75" customHeight="1">
      <c r="A422" s="601"/>
      <c r="B422" s="602"/>
      <c r="C422" s="602"/>
      <c r="D422" s="602"/>
      <c r="E422" s="602"/>
      <c r="F422" s="602"/>
      <c r="G422" s="602"/>
      <c r="H422" s="602"/>
      <c r="I422" s="602"/>
      <c r="J422" s="602"/>
      <c r="K422" s="602"/>
      <c r="L422" s="603"/>
      <c r="M422" s="603"/>
      <c r="N422" s="603"/>
      <c r="O422" s="603"/>
      <c r="P422" s="603"/>
      <c r="Q422" s="595"/>
      <c r="R422" s="595"/>
      <c r="S422" s="595"/>
      <c r="T422" s="595"/>
      <c r="U422" s="595"/>
      <c r="V422" s="595"/>
      <c r="W422" s="594"/>
      <c r="X422" s="594"/>
      <c r="Y422" s="595"/>
      <c r="Z422" s="595"/>
      <c r="AA422" s="595"/>
      <c r="AB422" s="595"/>
      <c r="AC422" s="595"/>
    </row>
    <row r="423" spans="1:29" ht="12.75" customHeight="1">
      <c r="A423" s="601"/>
      <c r="B423" s="602"/>
      <c r="C423" s="602"/>
      <c r="D423" s="602"/>
      <c r="E423" s="602"/>
      <c r="F423" s="602"/>
      <c r="G423" s="602"/>
      <c r="H423" s="602"/>
      <c r="I423" s="602"/>
      <c r="J423" s="602"/>
      <c r="K423" s="602"/>
      <c r="L423" s="603"/>
      <c r="M423" s="603"/>
      <c r="N423" s="603"/>
      <c r="O423" s="603"/>
      <c r="P423" s="603"/>
      <c r="Q423" s="595"/>
      <c r="R423" s="595"/>
      <c r="S423" s="595"/>
      <c r="T423" s="595"/>
      <c r="U423" s="595"/>
      <c r="V423" s="595"/>
      <c r="W423" s="594"/>
      <c r="X423" s="594"/>
      <c r="Y423" s="595"/>
      <c r="Z423" s="595"/>
      <c r="AA423" s="595"/>
      <c r="AB423" s="595"/>
      <c r="AC423" s="595"/>
    </row>
    <row r="424" spans="1:29" ht="12.75" customHeight="1">
      <c r="A424" s="601"/>
      <c r="B424" s="602"/>
      <c r="C424" s="602"/>
      <c r="D424" s="602"/>
      <c r="E424" s="602"/>
      <c r="F424" s="602"/>
      <c r="G424" s="602"/>
      <c r="H424" s="602"/>
      <c r="I424" s="602"/>
      <c r="J424" s="602"/>
      <c r="K424" s="602"/>
      <c r="L424" s="603"/>
      <c r="M424" s="603"/>
      <c r="N424" s="603"/>
      <c r="O424" s="603"/>
      <c r="P424" s="603"/>
      <c r="Q424" s="595"/>
      <c r="R424" s="595"/>
      <c r="S424" s="595"/>
      <c r="T424" s="595"/>
      <c r="U424" s="595"/>
      <c r="V424" s="595"/>
      <c r="W424" s="594"/>
      <c r="X424" s="594"/>
      <c r="Y424" s="595"/>
      <c r="Z424" s="595"/>
      <c r="AA424" s="595"/>
      <c r="AB424" s="595"/>
      <c r="AC424" s="595"/>
    </row>
    <row r="425" spans="1:29" ht="12.75" customHeight="1">
      <c r="A425" s="601"/>
      <c r="B425" s="602"/>
      <c r="C425" s="602"/>
      <c r="D425" s="602"/>
      <c r="E425" s="602"/>
      <c r="F425" s="602"/>
      <c r="G425" s="602"/>
      <c r="H425" s="602"/>
      <c r="I425" s="602"/>
      <c r="J425" s="602"/>
      <c r="K425" s="602"/>
      <c r="L425" s="603"/>
      <c r="M425" s="603"/>
      <c r="N425" s="603"/>
      <c r="O425" s="603"/>
      <c r="P425" s="603"/>
      <c r="Q425" s="595"/>
      <c r="R425" s="595"/>
      <c r="S425" s="595"/>
      <c r="T425" s="595"/>
      <c r="U425" s="595"/>
      <c r="V425" s="595"/>
      <c r="W425" s="594"/>
      <c r="X425" s="594"/>
      <c r="Y425" s="595"/>
      <c r="Z425" s="595"/>
      <c r="AA425" s="595"/>
      <c r="AB425" s="595"/>
      <c r="AC425" s="595"/>
    </row>
    <row r="426" spans="1:29" ht="12.75" customHeight="1">
      <c r="A426" s="601"/>
      <c r="B426" s="602"/>
      <c r="C426" s="602"/>
      <c r="D426" s="602"/>
      <c r="E426" s="602"/>
      <c r="F426" s="602"/>
      <c r="G426" s="602"/>
      <c r="H426" s="602"/>
      <c r="I426" s="602"/>
      <c r="J426" s="602"/>
      <c r="K426" s="602"/>
      <c r="L426" s="603"/>
      <c r="M426" s="603"/>
      <c r="N426" s="603"/>
      <c r="O426" s="603"/>
      <c r="P426" s="603"/>
      <c r="Q426" s="595"/>
      <c r="R426" s="595"/>
      <c r="S426" s="595"/>
      <c r="T426" s="595"/>
      <c r="U426" s="595"/>
      <c r="V426" s="595"/>
      <c r="W426" s="594"/>
      <c r="X426" s="594"/>
      <c r="Y426" s="595"/>
      <c r="Z426" s="595"/>
      <c r="AA426" s="595"/>
      <c r="AB426" s="595"/>
      <c r="AC426" s="595"/>
    </row>
    <row r="427" spans="1:29" ht="12.75" customHeight="1">
      <c r="A427" s="601"/>
      <c r="B427" s="602"/>
      <c r="C427" s="602"/>
      <c r="D427" s="602"/>
      <c r="E427" s="602"/>
      <c r="F427" s="602"/>
      <c r="G427" s="602"/>
      <c r="H427" s="602"/>
      <c r="I427" s="602"/>
      <c r="J427" s="602"/>
      <c r="K427" s="602"/>
      <c r="L427" s="603"/>
      <c r="M427" s="603"/>
      <c r="N427" s="603"/>
      <c r="O427" s="603"/>
      <c r="P427" s="603"/>
      <c r="Q427" s="595"/>
      <c r="R427" s="595"/>
      <c r="S427" s="595"/>
      <c r="T427" s="595"/>
      <c r="U427" s="595"/>
      <c r="V427" s="595"/>
      <c r="W427" s="594"/>
      <c r="X427" s="594"/>
      <c r="Y427" s="595"/>
      <c r="Z427" s="595"/>
      <c r="AA427" s="595"/>
      <c r="AB427" s="595"/>
      <c r="AC427" s="595"/>
    </row>
    <row r="428" spans="1:29" ht="12.75" customHeight="1">
      <c r="A428" s="601"/>
      <c r="B428" s="602"/>
      <c r="C428" s="602"/>
      <c r="D428" s="602"/>
      <c r="E428" s="602"/>
      <c r="F428" s="602"/>
      <c r="G428" s="602"/>
      <c r="H428" s="602"/>
      <c r="I428" s="602"/>
      <c r="J428" s="602"/>
      <c r="K428" s="602"/>
      <c r="L428" s="603"/>
      <c r="M428" s="603"/>
      <c r="N428" s="603"/>
      <c r="O428" s="603"/>
      <c r="P428" s="603"/>
      <c r="Q428" s="595"/>
      <c r="R428" s="595"/>
      <c r="S428" s="595"/>
      <c r="T428" s="595"/>
      <c r="U428" s="595"/>
      <c r="V428" s="595"/>
      <c r="W428" s="594"/>
      <c r="X428" s="594"/>
      <c r="Y428" s="595"/>
      <c r="Z428" s="595"/>
      <c r="AA428" s="595"/>
      <c r="AB428" s="595"/>
      <c r="AC428" s="595"/>
    </row>
    <row r="429" spans="1:29" ht="12.75" customHeight="1">
      <c r="A429" s="601"/>
      <c r="B429" s="602"/>
      <c r="C429" s="602"/>
      <c r="D429" s="602"/>
      <c r="E429" s="602"/>
      <c r="F429" s="602"/>
      <c r="G429" s="602"/>
      <c r="H429" s="602"/>
      <c r="I429" s="602"/>
      <c r="J429" s="602"/>
      <c r="K429" s="602"/>
      <c r="L429" s="603"/>
      <c r="M429" s="603"/>
      <c r="N429" s="603"/>
      <c r="O429" s="603"/>
      <c r="P429" s="603"/>
      <c r="Q429" s="595"/>
      <c r="R429" s="595"/>
      <c r="S429" s="595"/>
      <c r="T429" s="595"/>
      <c r="U429" s="595"/>
      <c r="V429" s="595"/>
      <c r="W429" s="594"/>
      <c r="X429" s="594"/>
      <c r="Y429" s="595"/>
      <c r="Z429" s="595"/>
      <c r="AA429" s="595"/>
      <c r="AB429" s="595"/>
      <c r="AC429" s="595"/>
    </row>
    <row r="430" spans="1:29" ht="12.75" customHeight="1">
      <c r="A430" s="601"/>
      <c r="B430" s="602"/>
      <c r="C430" s="602"/>
      <c r="D430" s="602"/>
      <c r="E430" s="602"/>
      <c r="F430" s="602"/>
      <c r="G430" s="602"/>
      <c r="H430" s="602"/>
      <c r="I430" s="602"/>
      <c r="J430" s="602"/>
      <c r="K430" s="602"/>
      <c r="L430" s="603"/>
      <c r="M430" s="603"/>
      <c r="N430" s="603"/>
      <c r="O430" s="603"/>
      <c r="P430" s="603"/>
      <c r="Q430" s="595"/>
      <c r="R430" s="595"/>
      <c r="S430" s="595"/>
      <c r="T430" s="595"/>
      <c r="U430" s="595"/>
      <c r="V430" s="595"/>
      <c r="W430" s="594"/>
      <c r="X430" s="594"/>
      <c r="Y430" s="595"/>
      <c r="Z430" s="595"/>
      <c r="AA430" s="595"/>
      <c r="AB430" s="595"/>
      <c r="AC430" s="595"/>
    </row>
    <row r="431" spans="1:29" ht="12.75" customHeight="1">
      <c r="A431" s="601"/>
      <c r="B431" s="602"/>
      <c r="C431" s="602"/>
      <c r="D431" s="602"/>
      <c r="E431" s="602"/>
      <c r="F431" s="602"/>
      <c r="G431" s="602"/>
      <c r="H431" s="602"/>
      <c r="I431" s="602"/>
      <c r="J431" s="602"/>
      <c r="K431" s="602"/>
      <c r="L431" s="603"/>
      <c r="M431" s="603"/>
      <c r="N431" s="603"/>
      <c r="O431" s="603"/>
      <c r="P431" s="603"/>
      <c r="Q431" s="595"/>
      <c r="R431" s="595"/>
      <c r="S431" s="595"/>
      <c r="T431" s="595"/>
      <c r="U431" s="595"/>
      <c r="V431" s="595"/>
      <c r="W431" s="594"/>
      <c r="X431" s="594"/>
      <c r="Y431" s="595"/>
      <c r="Z431" s="595"/>
      <c r="AA431" s="595"/>
      <c r="AB431" s="595"/>
      <c r="AC431" s="595"/>
    </row>
    <row r="432" spans="1:29" ht="12.75" customHeight="1">
      <c r="A432" s="601"/>
      <c r="B432" s="602"/>
      <c r="C432" s="602"/>
      <c r="D432" s="602"/>
      <c r="E432" s="602"/>
      <c r="F432" s="602"/>
      <c r="G432" s="602"/>
      <c r="H432" s="602"/>
      <c r="I432" s="602"/>
      <c r="J432" s="602"/>
      <c r="K432" s="602"/>
      <c r="L432" s="603"/>
      <c r="M432" s="603"/>
      <c r="N432" s="603"/>
      <c r="O432" s="603"/>
      <c r="P432" s="603"/>
      <c r="Q432" s="595"/>
      <c r="R432" s="595"/>
      <c r="S432" s="595"/>
      <c r="T432" s="595"/>
      <c r="U432" s="595"/>
      <c r="V432" s="595"/>
      <c r="W432" s="594"/>
      <c r="X432" s="594"/>
      <c r="Y432" s="595"/>
      <c r="Z432" s="595"/>
      <c r="AA432" s="595"/>
      <c r="AB432" s="595"/>
      <c r="AC432" s="595"/>
    </row>
    <row r="433" spans="1:29" ht="12.75" customHeight="1">
      <c r="A433" s="601"/>
      <c r="B433" s="602"/>
      <c r="C433" s="602"/>
      <c r="D433" s="602"/>
      <c r="E433" s="602"/>
      <c r="F433" s="602"/>
      <c r="G433" s="602"/>
      <c r="H433" s="602"/>
      <c r="I433" s="602"/>
      <c r="J433" s="602"/>
      <c r="K433" s="602"/>
      <c r="L433" s="603"/>
      <c r="M433" s="603"/>
      <c r="N433" s="603"/>
      <c r="O433" s="603"/>
      <c r="P433" s="603"/>
      <c r="Q433" s="595"/>
      <c r="R433" s="595"/>
      <c r="S433" s="595"/>
      <c r="T433" s="595"/>
      <c r="U433" s="595"/>
      <c r="V433" s="595"/>
      <c r="W433" s="594"/>
      <c r="X433" s="594"/>
      <c r="Y433" s="595"/>
      <c r="Z433" s="595"/>
      <c r="AA433" s="595"/>
      <c r="AB433" s="595"/>
      <c r="AC433" s="595"/>
    </row>
    <row r="434" spans="1:29" ht="12.75" customHeight="1">
      <c r="A434" s="601"/>
      <c r="B434" s="602"/>
      <c r="C434" s="602"/>
      <c r="D434" s="602"/>
      <c r="E434" s="602"/>
      <c r="F434" s="602"/>
      <c r="G434" s="602"/>
      <c r="H434" s="602"/>
      <c r="I434" s="602"/>
      <c r="J434" s="602"/>
      <c r="K434" s="602"/>
      <c r="L434" s="603"/>
      <c r="M434" s="603"/>
      <c r="N434" s="603"/>
      <c r="O434" s="603"/>
      <c r="P434" s="603"/>
      <c r="Q434" s="595"/>
      <c r="R434" s="595"/>
      <c r="S434" s="595"/>
      <c r="T434" s="595"/>
      <c r="U434" s="595"/>
      <c r="V434" s="595"/>
      <c r="W434" s="594"/>
      <c r="X434" s="594"/>
      <c r="Y434" s="595"/>
      <c r="Z434" s="595"/>
      <c r="AA434" s="595"/>
      <c r="AB434" s="595"/>
      <c r="AC434" s="595"/>
    </row>
    <row r="435" spans="1:29" ht="12.75" customHeight="1">
      <c r="A435" s="601"/>
      <c r="B435" s="602"/>
      <c r="C435" s="602"/>
      <c r="D435" s="602"/>
      <c r="E435" s="602"/>
      <c r="F435" s="602"/>
      <c r="G435" s="602"/>
      <c r="H435" s="602"/>
      <c r="I435" s="602"/>
      <c r="J435" s="602"/>
      <c r="K435" s="602"/>
      <c r="L435" s="603"/>
      <c r="M435" s="603"/>
      <c r="N435" s="603"/>
      <c r="O435" s="603"/>
      <c r="P435" s="603"/>
      <c r="Q435" s="595"/>
      <c r="R435" s="595"/>
      <c r="S435" s="595"/>
      <c r="T435" s="595"/>
      <c r="U435" s="595"/>
      <c r="V435" s="595"/>
      <c r="W435" s="594"/>
      <c r="X435" s="594"/>
      <c r="Y435" s="595"/>
      <c r="Z435" s="595"/>
      <c r="AA435" s="595"/>
      <c r="AB435" s="595"/>
      <c r="AC435" s="595"/>
    </row>
    <row r="436" spans="1:29" ht="12.75" customHeight="1">
      <c r="A436" s="601"/>
      <c r="B436" s="602"/>
      <c r="C436" s="602"/>
      <c r="D436" s="602"/>
      <c r="E436" s="602"/>
      <c r="F436" s="602"/>
      <c r="G436" s="602"/>
      <c r="H436" s="602"/>
      <c r="I436" s="602"/>
      <c r="J436" s="602"/>
      <c r="K436" s="602"/>
      <c r="L436" s="603"/>
      <c r="M436" s="603"/>
      <c r="N436" s="603"/>
      <c r="O436" s="603"/>
      <c r="P436" s="603"/>
      <c r="Q436" s="595"/>
      <c r="R436" s="595"/>
      <c r="S436" s="595"/>
      <c r="T436" s="595"/>
      <c r="U436" s="595"/>
      <c r="V436" s="595"/>
      <c r="W436" s="594"/>
      <c r="X436" s="594"/>
      <c r="Y436" s="595"/>
      <c r="Z436" s="595"/>
      <c r="AA436" s="595"/>
      <c r="AB436" s="595"/>
      <c r="AC436" s="595"/>
    </row>
    <row r="437" spans="1:29" ht="12.75" customHeight="1">
      <c r="A437" s="601"/>
      <c r="B437" s="602"/>
      <c r="C437" s="602"/>
      <c r="D437" s="602"/>
      <c r="E437" s="602"/>
      <c r="F437" s="602"/>
      <c r="G437" s="602"/>
      <c r="H437" s="602"/>
      <c r="I437" s="602"/>
      <c r="J437" s="602"/>
      <c r="K437" s="602"/>
      <c r="L437" s="603"/>
      <c r="M437" s="603"/>
      <c r="N437" s="603"/>
      <c r="O437" s="603"/>
      <c r="P437" s="603"/>
      <c r="Q437" s="595"/>
      <c r="R437" s="595"/>
      <c r="S437" s="595"/>
      <c r="T437" s="595"/>
      <c r="U437" s="595"/>
      <c r="V437" s="595"/>
      <c r="W437" s="594"/>
      <c r="X437" s="594"/>
      <c r="Y437" s="595"/>
      <c r="Z437" s="595"/>
      <c r="AA437" s="595"/>
      <c r="AB437" s="595"/>
      <c r="AC437" s="595"/>
    </row>
    <row r="438" spans="1:29" ht="12.75" customHeight="1">
      <c r="A438" s="601"/>
      <c r="B438" s="602"/>
      <c r="C438" s="602"/>
      <c r="D438" s="602"/>
      <c r="E438" s="602"/>
      <c r="F438" s="602"/>
      <c r="G438" s="602"/>
      <c r="H438" s="602"/>
      <c r="I438" s="602"/>
      <c r="J438" s="602"/>
      <c r="K438" s="602"/>
      <c r="L438" s="603"/>
      <c r="M438" s="603"/>
      <c r="N438" s="603"/>
      <c r="O438" s="603"/>
      <c r="P438" s="603"/>
      <c r="Q438" s="595"/>
      <c r="R438" s="595"/>
      <c r="S438" s="595"/>
      <c r="T438" s="595"/>
      <c r="U438" s="595"/>
      <c r="V438" s="595"/>
      <c r="W438" s="594"/>
      <c r="X438" s="594"/>
      <c r="Y438" s="595"/>
      <c r="Z438" s="595"/>
      <c r="AA438" s="595"/>
      <c r="AB438" s="595"/>
      <c r="AC438" s="595"/>
    </row>
    <row r="439" spans="1:29" ht="12.75" customHeight="1">
      <c r="A439" s="601"/>
      <c r="B439" s="602"/>
      <c r="C439" s="602"/>
      <c r="D439" s="602"/>
      <c r="E439" s="602"/>
      <c r="F439" s="602"/>
      <c r="G439" s="602"/>
      <c r="H439" s="602"/>
      <c r="I439" s="602"/>
      <c r="J439" s="602"/>
      <c r="K439" s="602"/>
      <c r="L439" s="603"/>
      <c r="M439" s="603"/>
      <c r="N439" s="603"/>
      <c r="O439" s="603"/>
      <c r="P439" s="603"/>
      <c r="Q439" s="595"/>
      <c r="R439" s="595"/>
      <c r="S439" s="595"/>
      <c r="T439" s="595"/>
      <c r="U439" s="595"/>
      <c r="V439" s="595"/>
      <c r="W439" s="594"/>
      <c r="X439" s="594"/>
      <c r="Y439" s="595"/>
      <c r="Z439" s="595"/>
      <c r="AA439" s="595"/>
      <c r="AB439" s="595"/>
      <c r="AC439" s="595"/>
    </row>
    <row r="440" spans="1:29" ht="12.75" customHeight="1">
      <c r="A440" s="601"/>
      <c r="B440" s="602"/>
      <c r="C440" s="602"/>
      <c r="D440" s="602"/>
      <c r="E440" s="602"/>
      <c r="F440" s="602"/>
      <c r="G440" s="602"/>
      <c r="H440" s="602"/>
      <c r="I440" s="602"/>
      <c r="J440" s="602"/>
      <c r="K440" s="602"/>
      <c r="L440" s="603"/>
      <c r="M440" s="603"/>
      <c r="N440" s="603"/>
      <c r="O440" s="603"/>
      <c r="P440" s="603"/>
      <c r="Q440" s="595"/>
      <c r="R440" s="595"/>
      <c r="S440" s="595"/>
      <c r="T440" s="595"/>
      <c r="U440" s="595"/>
      <c r="V440" s="595"/>
      <c r="W440" s="594"/>
      <c r="X440" s="594"/>
      <c r="Y440" s="595"/>
      <c r="Z440" s="595"/>
      <c r="AA440" s="595"/>
      <c r="AB440" s="595"/>
      <c r="AC440" s="595"/>
    </row>
    <row r="441" spans="1:29" ht="12.75" customHeight="1">
      <c r="A441" s="601"/>
      <c r="B441" s="602"/>
      <c r="C441" s="602"/>
      <c r="D441" s="602"/>
      <c r="E441" s="602"/>
      <c r="F441" s="602"/>
      <c r="G441" s="602"/>
      <c r="H441" s="602"/>
      <c r="I441" s="602"/>
      <c r="J441" s="602"/>
      <c r="K441" s="602"/>
      <c r="L441" s="603"/>
      <c r="M441" s="603"/>
      <c r="N441" s="603"/>
      <c r="O441" s="603"/>
      <c r="P441" s="603"/>
      <c r="Q441" s="595"/>
      <c r="R441" s="595"/>
      <c r="S441" s="595"/>
      <c r="T441" s="595"/>
      <c r="U441" s="595"/>
      <c r="V441" s="595"/>
      <c r="W441" s="594"/>
      <c r="X441" s="594"/>
      <c r="Y441" s="595"/>
      <c r="Z441" s="595"/>
      <c r="AA441" s="595"/>
      <c r="AB441" s="595"/>
      <c r="AC441" s="595"/>
    </row>
    <row r="442" spans="1:29" ht="12.75" customHeight="1">
      <c r="A442" s="601"/>
      <c r="B442" s="602"/>
      <c r="C442" s="602"/>
      <c r="D442" s="602"/>
      <c r="E442" s="602"/>
      <c r="F442" s="602"/>
      <c r="G442" s="602"/>
      <c r="H442" s="602"/>
      <c r="I442" s="602"/>
      <c r="J442" s="602"/>
      <c r="K442" s="602"/>
      <c r="L442" s="603"/>
      <c r="M442" s="603"/>
      <c r="N442" s="603"/>
      <c r="O442" s="603"/>
      <c r="P442" s="603"/>
      <c r="Q442" s="595"/>
      <c r="R442" s="595"/>
      <c r="S442" s="595"/>
      <c r="T442" s="595"/>
      <c r="U442" s="595"/>
      <c r="V442" s="595"/>
      <c r="W442" s="594"/>
      <c r="X442" s="594"/>
      <c r="Y442" s="595"/>
      <c r="Z442" s="595"/>
      <c r="AA442" s="595"/>
      <c r="AB442" s="595"/>
      <c r="AC442" s="595"/>
    </row>
    <row r="443" spans="1:29" ht="12.75" customHeight="1">
      <c r="A443" s="601"/>
      <c r="B443" s="602"/>
      <c r="C443" s="602"/>
      <c r="D443" s="602"/>
      <c r="E443" s="602"/>
      <c r="F443" s="602"/>
      <c r="G443" s="602"/>
      <c r="H443" s="602"/>
      <c r="I443" s="602"/>
      <c r="J443" s="602"/>
      <c r="K443" s="602"/>
      <c r="L443" s="603"/>
      <c r="M443" s="603"/>
      <c r="N443" s="603"/>
      <c r="O443" s="603"/>
      <c r="P443" s="603"/>
      <c r="Q443" s="595"/>
      <c r="R443" s="595"/>
      <c r="S443" s="595"/>
      <c r="T443" s="595"/>
      <c r="U443" s="595"/>
      <c r="V443" s="595"/>
      <c r="W443" s="594"/>
      <c r="X443" s="594"/>
      <c r="Y443" s="595"/>
      <c r="Z443" s="595"/>
      <c r="AA443" s="595"/>
      <c r="AB443" s="595"/>
      <c r="AC443" s="595"/>
    </row>
    <row r="444" spans="1:29" ht="12.75" customHeight="1">
      <c r="A444" s="601"/>
      <c r="B444" s="602"/>
      <c r="C444" s="602"/>
      <c r="D444" s="602"/>
      <c r="E444" s="602"/>
      <c r="F444" s="602"/>
      <c r="G444" s="602"/>
      <c r="H444" s="602"/>
      <c r="I444" s="602"/>
      <c r="J444" s="602"/>
      <c r="K444" s="602"/>
      <c r="L444" s="603"/>
      <c r="M444" s="603"/>
      <c r="N444" s="603"/>
      <c r="O444" s="603"/>
      <c r="P444" s="603"/>
      <c r="Q444" s="595"/>
      <c r="R444" s="595"/>
      <c r="S444" s="595"/>
      <c r="T444" s="595"/>
      <c r="U444" s="595"/>
      <c r="V444" s="595"/>
      <c r="W444" s="594"/>
      <c r="X444" s="594"/>
      <c r="Y444" s="595"/>
      <c r="Z444" s="595"/>
      <c r="AA444" s="595"/>
      <c r="AB444" s="595"/>
      <c r="AC444" s="595"/>
    </row>
    <row r="445" spans="1:29" ht="12.75" customHeight="1">
      <c r="A445" s="601"/>
      <c r="B445" s="602"/>
      <c r="C445" s="602"/>
      <c r="D445" s="602"/>
      <c r="E445" s="602"/>
      <c r="F445" s="602"/>
      <c r="G445" s="602"/>
      <c r="H445" s="602"/>
      <c r="I445" s="602"/>
      <c r="J445" s="602"/>
      <c r="K445" s="602"/>
      <c r="L445" s="603"/>
      <c r="M445" s="603"/>
      <c r="N445" s="603"/>
      <c r="O445" s="603"/>
      <c r="P445" s="603"/>
      <c r="Q445" s="595"/>
      <c r="R445" s="595"/>
      <c r="S445" s="595"/>
      <c r="T445" s="595"/>
      <c r="U445" s="595"/>
      <c r="V445" s="595"/>
      <c r="W445" s="594"/>
      <c r="X445" s="594"/>
      <c r="Y445" s="595"/>
      <c r="Z445" s="595"/>
      <c r="AA445" s="595"/>
      <c r="AB445" s="595"/>
      <c r="AC445" s="595"/>
    </row>
    <row r="446" spans="1:29" ht="12.75" customHeight="1">
      <c r="A446" s="601"/>
      <c r="B446" s="602"/>
      <c r="C446" s="602"/>
      <c r="D446" s="602"/>
      <c r="E446" s="602"/>
      <c r="F446" s="602"/>
      <c r="G446" s="602"/>
      <c r="H446" s="602"/>
      <c r="I446" s="602"/>
      <c r="J446" s="602"/>
      <c r="K446" s="602"/>
      <c r="L446" s="603"/>
      <c r="M446" s="603"/>
      <c r="N446" s="603"/>
      <c r="O446" s="603"/>
      <c r="P446" s="603"/>
      <c r="Q446" s="595"/>
      <c r="R446" s="595"/>
      <c r="S446" s="595"/>
      <c r="T446" s="595"/>
      <c r="U446" s="595"/>
      <c r="V446" s="595"/>
      <c r="W446" s="594"/>
      <c r="X446" s="594"/>
      <c r="Y446" s="595"/>
      <c r="Z446" s="595"/>
      <c r="AA446" s="595"/>
      <c r="AB446" s="595"/>
      <c r="AC446" s="595"/>
    </row>
    <row r="447" spans="1:29" ht="12.75" customHeight="1">
      <c r="A447" s="601"/>
      <c r="B447" s="602"/>
      <c r="C447" s="602"/>
      <c r="D447" s="602"/>
      <c r="E447" s="602"/>
      <c r="F447" s="602"/>
      <c r="G447" s="602"/>
      <c r="H447" s="602"/>
      <c r="I447" s="602"/>
      <c r="J447" s="602"/>
      <c r="K447" s="602"/>
      <c r="L447" s="603"/>
      <c r="M447" s="603"/>
      <c r="N447" s="603"/>
      <c r="O447" s="603"/>
      <c r="P447" s="603"/>
      <c r="Q447" s="595"/>
      <c r="R447" s="595"/>
      <c r="S447" s="595"/>
      <c r="T447" s="595"/>
      <c r="U447" s="595"/>
      <c r="V447" s="595"/>
      <c r="W447" s="594"/>
      <c r="X447" s="594"/>
      <c r="Y447" s="595"/>
      <c r="Z447" s="595"/>
      <c r="AA447" s="595"/>
      <c r="AB447" s="595"/>
      <c r="AC447" s="595"/>
    </row>
    <row r="448" spans="1:29" ht="12.75" customHeight="1">
      <c r="A448" s="601"/>
      <c r="B448" s="602"/>
      <c r="C448" s="602"/>
      <c r="D448" s="602"/>
      <c r="E448" s="602"/>
      <c r="F448" s="602"/>
      <c r="G448" s="602"/>
      <c r="H448" s="602"/>
      <c r="I448" s="602"/>
      <c r="J448" s="602"/>
      <c r="K448" s="602"/>
      <c r="L448" s="603"/>
      <c r="M448" s="603"/>
      <c r="N448" s="603"/>
      <c r="O448" s="603"/>
      <c r="P448" s="603"/>
      <c r="Q448" s="595"/>
      <c r="R448" s="595"/>
      <c r="S448" s="595"/>
      <c r="T448" s="595"/>
      <c r="U448" s="595"/>
      <c r="V448" s="595"/>
      <c r="W448" s="594"/>
      <c r="X448" s="594"/>
      <c r="Y448" s="595"/>
      <c r="Z448" s="595"/>
      <c r="AA448" s="595"/>
      <c r="AB448" s="595"/>
      <c r="AC448" s="595"/>
    </row>
    <row r="449" spans="1:29" ht="12.75" customHeight="1">
      <c r="A449" s="601"/>
      <c r="B449" s="602"/>
      <c r="C449" s="602"/>
      <c r="D449" s="602"/>
      <c r="E449" s="602"/>
      <c r="F449" s="602"/>
      <c r="G449" s="602"/>
      <c r="H449" s="602"/>
      <c r="I449" s="602"/>
      <c r="J449" s="602"/>
      <c r="K449" s="602"/>
      <c r="L449" s="603"/>
      <c r="M449" s="603"/>
      <c r="N449" s="603"/>
      <c r="O449" s="603"/>
      <c r="P449" s="603"/>
      <c r="Q449" s="595"/>
      <c r="R449" s="595"/>
      <c r="S449" s="595"/>
      <c r="T449" s="595"/>
      <c r="U449" s="595"/>
      <c r="V449" s="595"/>
      <c r="W449" s="594"/>
      <c r="X449" s="594"/>
      <c r="Y449" s="595"/>
      <c r="Z449" s="595"/>
      <c r="AA449" s="595"/>
      <c r="AB449" s="595"/>
      <c r="AC449" s="595"/>
    </row>
    <row r="450" spans="1:29" ht="12.75" customHeight="1">
      <c r="A450" s="601"/>
      <c r="B450" s="602"/>
      <c r="C450" s="602"/>
      <c r="D450" s="602"/>
      <c r="E450" s="602"/>
      <c r="F450" s="602"/>
      <c r="G450" s="602"/>
      <c r="H450" s="602"/>
      <c r="I450" s="602"/>
      <c r="J450" s="602"/>
      <c r="K450" s="602"/>
      <c r="L450" s="603"/>
      <c r="M450" s="603"/>
      <c r="N450" s="603"/>
      <c r="O450" s="603"/>
      <c r="P450" s="603"/>
      <c r="Q450" s="595"/>
      <c r="R450" s="595"/>
      <c r="S450" s="595"/>
      <c r="T450" s="595"/>
      <c r="U450" s="595"/>
      <c r="V450" s="595"/>
      <c r="W450" s="594"/>
      <c r="X450" s="594"/>
      <c r="Y450" s="595"/>
      <c r="Z450" s="595"/>
      <c r="AA450" s="595"/>
      <c r="AB450" s="595"/>
      <c r="AC450" s="595"/>
    </row>
    <row r="451" spans="1:29" ht="12.75" customHeight="1">
      <c r="A451" s="601"/>
      <c r="B451" s="602"/>
      <c r="C451" s="602"/>
      <c r="D451" s="602"/>
      <c r="E451" s="602"/>
      <c r="F451" s="602"/>
      <c r="G451" s="602"/>
      <c r="H451" s="602"/>
      <c r="I451" s="602"/>
      <c r="J451" s="602"/>
      <c r="K451" s="602"/>
      <c r="L451" s="603"/>
      <c r="M451" s="603"/>
      <c r="N451" s="603"/>
      <c r="O451" s="603"/>
      <c r="P451" s="603"/>
      <c r="Q451" s="595"/>
      <c r="R451" s="595"/>
      <c r="S451" s="595"/>
      <c r="T451" s="595"/>
      <c r="U451" s="595"/>
      <c r="V451" s="595"/>
      <c r="W451" s="594"/>
      <c r="X451" s="594"/>
      <c r="Y451" s="595"/>
      <c r="Z451" s="595"/>
      <c r="AA451" s="595"/>
      <c r="AB451" s="595"/>
      <c r="AC451" s="595"/>
    </row>
    <row r="452" spans="1:29" ht="12.75" customHeight="1">
      <c r="A452" s="601"/>
      <c r="B452" s="602"/>
      <c r="C452" s="602"/>
      <c r="D452" s="602"/>
      <c r="E452" s="602"/>
      <c r="F452" s="602"/>
      <c r="G452" s="602"/>
      <c r="H452" s="602"/>
      <c r="I452" s="602"/>
      <c r="J452" s="602"/>
      <c r="K452" s="602"/>
      <c r="L452" s="603"/>
      <c r="M452" s="603"/>
      <c r="N452" s="603"/>
      <c r="O452" s="603"/>
      <c r="P452" s="603"/>
      <c r="Q452" s="595"/>
      <c r="R452" s="595"/>
      <c r="S452" s="595"/>
      <c r="T452" s="595"/>
      <c r="U452" s="595"/>
      <c r="V452" s="595"/>
      <c r="W452" s="594"/>
      <c r="X452" s="594"/>
      <c r="Y452" s="595"/>
      <c r="Z452" s="595"/>
      <c r="AA452" s="595"/>
      <c r="AB452" s="595"/>
      <c r="AC452" s="595"/>
    </row>
    <row r="453" spans="1:29" ht="12.75" customHeight="1">
      <c r="A453" s="601"/>
      <c r="B453" s="602"/>
      <c r="C453" s="602"/>
      <c r="D453" s="602"/>
      <c r="E453" s="602"/>
      <c r="F453" s="602"/>
      <c r="G453" s="602"/>
      <c r="H453" s="602"/>
      <c r="I453" s="602"/>
      <c r="J453" s="602"/>
      <c r="K453" s="602"/>
      <c r="L453" s="603"/>
      <c r="M453" s="603"/>
      <c r="N453" s="603"/>
      <c r="O453" s="603"/>
      <c r="P453" s="603"/>
      <c r="Q453" s="595"/>
      <c r="R453" s="595"/>
      <c r="S453" s="595"/>
      <c r="T453" s="595"/>
      <c r="U453" s="595"/>
      <c r="V453" s="595"/>
      <c r="W453" s="594"/>
      <c r="X453" s="594"/>
      <c r="Y453" s="595"/>
      <c r="Z453" s="595"/>
      <c r="AA453" s="595"/>
      <c r="AB453" s="595"/>
      <c r="AC453" s="595"/>
    </row>
    <row r="454" spans="1:29" ht="12.75" customHeight="1">
      <c r="A454" s="601"/>
      <c r="B454" s="602"/>
      <c r="C454" s="602"/>
      <c r="D454" s="602"/>
      <c r="E454" s="602"/>
      <c r="F454" s="602"/>
      <c r="G454" s="602"/>
      <c r="H454" s="602"/>
      <c r="I454" s="602"/>
      <c r="J454" s="602"/>
      <c r="K454" s="602"/>
      <c r="L454" s="603"/>
      <c r="M454" s="603"/>
      <c r="N454" s="603"/>
      <c r="O454" s="603"/>
      <c r="P454" s="603"/>
      <c r="Q454" s="595"/>
      <c r="R454" s="595"/>
      <c r="S454" s="595"/>
      <c r="T454" s="595"/>
      <c r="U454" s="595"/>
      <c r="V454" s="595"/>
      <c r="W454" s="594"/>
      <c r="X454" s="594"/>
      <c r="Y454" s="595"/>
      <c r="Z454" s="595"/>
      <c r="AA454" s="595"/>
      <c r="AB454" s="595"/>
      <c r="AC454" s="595"/>
    </row>
    <row r="455" spans="1:29" ht="12.75" customHeight="1">
      <c r="A455" s="601"/>
      <c r="B455" s="602"/>
      <c r="C455" s="602"/>
      <c r="D455" s="602"/>
      <c r="E455" s="602"/>
      <c r="F455" s="602"/>
      <c r="G455" s="602"/>
      <c r="H455" s="602"/>
      <c r="I455" s="602"/>
      <c r="J455" s="602"/>
      <c r="K455" s="602"/>
      <c r="L455" s="603"/>
      <c r="M455" s="603"/>
      <c r="N455" s="603"/>
      <c r="O455" s="603"/>
      <c r="P455" s="603"/>
      <c r="Q455" s="595"/>
      <c r="R455" s="595"/>
      <c r="S455" s="595"/>
      <c r="T455" s="595"/>
      <c r="U455" s="595"/>
      <c r="V455" s="595"/>
      <c r="W455" s="594"/>
      <c r="X455" s="594"/>
      <c r="Y455" s="595"/>
      <c r="Z455" s="595"/>
      <c r="AA455" s="595"/>
      <c r="AB455" s="595"/>
      <c r="AC455" s="595"/>
    </row>
    <row r="456" spans="1:29" ht="12.75" customHeight="1">
      <c r="A456" s="601"/>
      <c r="B456" s="602"/>
      <c r="C456" s="602"/>
      <c r="D456" s="602"/>
      <c r="E456" s="602"/>
      <c r="F456" s="602"/>
      <c r="G456" s="602"/>
      <c r="H456" s="602"/>
      <c r="I456" s="602"/>
      <c r="J456" s="602"/>
      <c r="K456" s="602"/>
      <c r="L456" s="603"/>
      <c r="M456" s="603"/>
      <c r="N456" s="603"/>
      <c r="O456" s="603"/>
      <c r="P456" s="603"/>
      <c r="Q456" s="595"/>
      <c r="R456" s="595"/>
      <c r="S456" s="595"/>
      <c r="T456" s="595"/>
      <c r="U456" s="595"/>
      <c r="V456" s="595"/>
      <c r="W456" s="594"/>
      <c r="X456" s="594"/>
      <c r="Y456" s="595"/>
      <c r="Z456" s="595"/>
      <c r="AA456" s="595"/>
      <c r="AB456" s="595"/>
      <c r="AC456" s="595"/>
    </row>
    <row r="457" spans="1:29" ht="12.75" customHeight="1">
      <c r="A457" s="601"/>
      <c r="B457" s="602"/>
      <c r="C457" s="602"/>
      <c r="D457" s="602"/>
      <c r="E457" s="602"/>
      <c r="F457" s="602"/>
      <c r="G457" s="602"/>
      <c r="H457" s="602"/>
      <c r="I457" s="602"/>
      <c r="J457" s="602"/>
      <c r="K457" s="602"/>
      <c r="L457" s="603"/>
      <c r="M457" s="603"/>
      <c r="N457" s="603"/>
      <c r="O457" s="603"/>
      <c r="P457" s="603"/>
      <c r="Q457" s="595"/>
      <c r="R457" s="595"/>
      <c r="S457" s="595"/>
      <c r="T457" s="595"/>
      <c r="U457" s="595"/>
      <c r="V457" s="595"/>
      <c r="W457" s="594"/>
      <c r="X457" s="594"/>
      <c r="Y457" s="595"/>
      <c r="Z457" s="595"/>
      <c r="AA457" s="595"/>
      <c r="AB457" s="595"/>
      <c r="AC457" s="595"/>
    </row>
    <row r="458" spans="1:29" ht="12.75" customHeight="1">
      <c r="A458" s="601"/>
      <c r="B458" s="602"/>
      <c r="C458" s="602"/>
      <c r="D458" s="602"/>
      <c r="E458" s="602"/>
      <c r="F458" s="602"/>
      <c r="G458" s="602"/>
      <c r="H458" s="602"/>
      <c r="I458" s="602"/>
      <c r="J458" s="602"/>
      <c r="K458" s="602"/>
      <c r="L458" s="603"/>
      <c r="M458" s="603"/>
      <c r="N458" s="603"/>
      <c r="O458" s="603"/>
      <c r="P458" s="603"/>
      <c r="Q458" s="595"/>
      <c r="R458" s="595"/>
      <c r="S458" s="595"/>
      <c r="T458" s="595"/>
      <c r="U458" s="595"/>
      <c r="V458" s="595"/>
      <c r="W458" s="594"/>
      <c r="X458" s="594"/>
      <c r="Y458" s="595"/>
      <c r="Z458" s="595"/>
      <c r="AA458" s="595"/>
      <c r="AB458" s="595"/>
      <c r="AC458" s="595"/>
    </row>
    <row r="459" spans="1:29" ht="12.75" customHeight="1">
      <c r="A459" s="601"/>
      <c r="B459" s="602"/>
      <c r="C459" s="602"/>
      <c r="D459" s="602"/>
      <c r="E459" s="602"/>
      <c r="F459" s="602"/>
      <c r="G459" s="602"/>
      <c r="H459" s="602"/>
      <c r="I459" s="602"/>
      <c r="J459" s="602"/>
      <c r="K459" s="602"/>
      <c r="L459" s="603"/>
      <c r="M459" s="603"/>
      <c r="N459" s="603"/>
      <c r="O459" s="603"/>
      <c r="P459" s="603"/>
      <c r="Q459" s="595"/>
      <c r="R459" s="595"/>
      <c r="S459" s="595"/>
      <c r="T459" s="595"/>
      <c r="U459" s="595"/>
      <c r="V459" s="595"/>
      <c r="W459" s="594"/>
      <c r="X459" s="594"/>
      <c r="Y459" s="595"/>
      <c r="Z459" s="595"/>
      <c r="AA459" s="595"/>
      <c r="AB459" s="595"/>
      <c r="AC459" s="595"/>
    </row>
    <row r="460" spans="1:29" ht="12.75" customHeight="1">
      <c r="A460" s="601"/>
      <c r="B460" s="602"/>
      <c r="C460" s="602"/>
      <c r="D460" s="602"/>
      <c r="E460" s="602"/>
      <c r="F460" s="602"/>
      <c r="G460" s="602"/>
      <c r="H460" s="602"/>
      <c r="I460" s="602"/>
      <c r="J460" s="602"/>
      <c r="K460" s="602"/>
      <c r="L460" s="603"/>
      <c r="M460" s="603"/>
      <c r="N460" s="603"/>
      <c r="O460" s="603"/>
      <c r="P460" s="603"/>
      <c r="Q460" s="595"/>
      <c r="R460" s="595"/>
      <c r="S460" s="595"/>
      <c r="T460" s="595"/>
      <c r="U460" s="595"/>
      <c r="V460" s="595"/>
      <c r="W460" s="594"/>
      <c r="X460" s="594"/>
      <c r="Y460" s="595"/>
      <c r="Z460" s="595"/>
      <c r="AA460" s="595"/>
      <c r="AB460" s="595"/>
      <c r="AC460" s="595"/>
    </row>
    <row r="461" spans="1:29" ht="12.75" customHeight="1">
      <c r="A461" s="601"/>
      <c r="B461" s="602"/>
      <c r="C461" s="602"/>
      <c r="D461" s="602"/>
      <c r="E461" s="602"/>
      <c r="F461" s="602"/>
      <c r="G461" s="602"/>
      <c r="H461" s="602"/>
      <c r="I461" s="602"/>
      <c r="J461" s="602"/>
      <c r="K461" s="602"/>
      <c r="L461" s="603"/>
      <c r="M461" s="603"/>
      <c r="N461" s="603"/>
      <c r="O461" s="603"/>
      <c r="P461" s="603"/>
      <c r="Q461" s="595"/>
      <c r="R461" s="595"/>
      <c r="S461" s="595"/>
      <c r="T461" s="595"/>
      <c r="U461" s="595"/>
      <c r="V461" s="595"/>
      <c r="W461" s="594"/>
      <c r="X461" s="594"/>
      <c r="Y461" s="595"/>
      <c r="Z461" s="595"/>
      <c r="AA461" s="595"/>
      <c r="AB461" s="595"/>
      <c r="AC461" s="595"/>
    </row>
    <row r="462" spans="1:29" ht="12.75" customHeight="1">
      <c r="A462" s="601"/>
      <c r="B462" s="602"/>
      <c r="C462" s="602"/>
      <c r="D462" s="602"/>
      <c r="E462" s="602"/>
      <c r="F462" s="602"/>
      <c r="G462" s="602"/>
      <c r="H462" s="602"/>
      <c r="I462" s="602"/>
      <c r="J462" s="602"/>
      <c r="K462" s="602"/>
      <c r="L462" s="603"/>
      <c r="M462" s="603"/>
      <c r="N462" s="603"/>
      <c r="O462" s="603"/>
      <c r="P462" s="603"/>
      <c r="Q462" s="595"/>
      <c r="R462" s="595"/>
      <c r="S462" s="595"/>
      <c r="T462" s="595"/>
      <c r="U462" s="595"/>
      <c r="V462" s="595"/>
      <c r="W462" s="594"/>
      <c r="X462" s="594"/>
      <c r="Y462" s="595"/>
      <c r="Z462" s="595"/>
      <c r="AA462" s="595"/>
      <c r="AB462" s="595"/>
      <c r="AC462" s="595"/>
    </row>
    <row r="463" spans="1:29" ht="12.75" customHeight="1">
      <c r="A463" s="601"/>
      <c r="B463" s="602"/>
      <c r="C463" s="602"/>
      <c r="D463" s="602"/>
      <c r="E463" s="602"/>
      <c r="F463" s="602"/>
      <c r="G463" s="602"/>
      <c r="H463" s="602"/>
      <c r="I463" s="602"/>
      <c r="J463" s="602"/>
      <c r="K463" s="602"/>
      <c r="L463" s="603"/>
      <c r="M463" s="603"/>
      <c r="N463" s="603"/>
      <c r="O463" s="603"/>
      <c r="P463" s="603"/>
      <c r="Q463" s="595"/>
      <c r="R463" s="595"/>
      <c r="S463" s="595"/>
      <c r="T463" s="595"/>
      <c r="U463" s="595"/>
      <c r="V463" s="595"/>
      <c r="W463" s="594"/>
      <c r="X463" s="594"/>
      <c r="Y463" s="595"/>
      <c r="Z463" s="595"/>
      <c r="AA463" s="595"/>
      <c r="AB463" s="595"/>
      <c r="AC463" s="595"/>
    </row>
    <row r="464" spans="1:29" ht="12.75" customHeight="1">
      <c r="A464" s="601"/>
      <c r="B464" s="602"/>
      <c r="C464" s="602"/>
      <c r="D464" s="602"/>
      <c r="E464" s="602"/>
      <c r="F464" s="602"/>
      <c r="G464" s="602"/>
      <c r="H464" s="602"/>
      <c r="I464" s="602"/>
      <c r="J464" s="602"/>
      <c r="K464" s="602"/>
      <c r="L464" s="603"/>
      <c r="M464" s="603"/>
      <c r="N464" s="603"/>
      <c r="O464" s="603"/>
      <c r="P464" s="603"/>
      <c r="Q464" s="595"/>
      <c r="R464" s="595"/>
      <c r="S464" s="595"/>
      <c r="T464" s="595"/>
      <c r="U464" s="595"/>
      <c r="V464" s="595"/>
      <c r="W464" s="594"/>
      <c r="X464" s="594"/>
      <c r="Y464" s="595"/>
      <c r="Z464" s="595"/>
      <c r="AA464" s="595"/>
      <c r="AB464" s="595"/>
      <c r="AC464" s="595"/>
    </row>
    <row r="465" spans="1:29" ht="12.75" customHeight="1">
      <c r="A465" s="601"/>
      <c r="B465" s="602"/>
      <c r="C465" s="602"/>
      <c r="D465" s="602"/>
      <c r="E465" s="602"/>
      <c r="F465" s="602"/>
      <c r="G465" s="602"/>
      <c r="H465" s="602"/>
      <c r="I465" s="602"/>
      <c r="J465" s="602"/>
      <c r="K465" s="602"/>
      <c r="L465" s="603"/>
      <c r="M465" s="603"/>
      <c r="N465" s="603"/>
      <c r="O465" s="603"/>
      <c r="P465" s="603"/>
      <c r="Q465" s="595"/>
      <c r="R465" s="595"/>
      <c r="S465" s="595"/>
      <c r="T465" s="595"/>
      <c r="U465" s="595"/>
      <c r="V465" s="595"/>
      <c r="W465" s="594"/>
      <c r="X465" s="594"/>
      <c r="Y465" s="595"/>
      <c r="Z465" s="595"/>
      <c r="AA465" s="595"/>
      <c r="AB465" s="595"/>
      <c r="AC465" s="595"/>
    </row>
    <row r="466" spans="1:29" ht="12.75" customHeight="1">
      <c r="A466" s="601"/>
      <c r="B466" s="602"/>
      <c r="C466" s="602"/>
      <c r="D466" s="602"/>
      <c r="E466" s="602"/>
      <c r="F466" s="602"/>
      <c r="G466" s="602"/>
      <c r="H466" s="602"/>
      <c r="I466" s="602"/>
      <c r="J466" s="602"/>
      <c r="K466" s="602"/>
      <c r="L466" s="603"/>
      <c r="M466" s="603"/>
      <c r="N466" s="603"/>
      <c r="O466" s="603"/>
      <c r="P466" s="603"/>
      <c r="Q466" s="595"/>
      <c r="R466" s="595"/>
      <c r="S466" s="595"/>
      <c r="T466" s="595"/>
      <c r="U466" s="595"/>
      <c r="V466" s="595"/>
      <c r="W466" s="594"/>
      <c r="X466" s="594"/>
      <c r="Y466" s="595"/>
      <c r="Z466" s="595"/>
      <c r="AA466" s="595"/>
      <c r="AB466" s="595"/>
      <c r="AC466" s="595"/>
    </row>
    <row r="467" spans="1:29" ht="12.75" customHeight="1">
      <c r="A467" s="601"/>
      <c r="B467" s="602"/>
      <c r="C467" s="602"/>
      <c r="D467" s="602"/>
      <c r="E467" s="602"/>
      <c r="F467" s="602"/>
      <c r="G467" s="602"/>
      <c r="H467" s="602"/>
      <c r="I467" s="602"/>
      <c r="J467" s="602"/>
      <c r="K467" s="602"/>
      <c r="L467" s="603"/>
      <c r="M467" s="603"/>
      <c r="N467" s="603"/>
      <c r="O467" s="603"/>
      <c r="P467" s="603"/>
      <c r="Q467" s="595"/>
      <c r="R467" s="595"/>
      <c r="S467" s="595"/>
      <c r="T467" s="595"/>
      <c r="U467" s="595"/>
      <c r="V467" s="595"/>
      <c r="W467" s="594"/>
      <c r="X467" s="594"/>
      <c r="Y467" s="595"/>
      <c r="Z467" s="595"/>
      <c r="AA467" s="595"/>
      <c r="AB467" s="595"/>
      <c r="AC467" s="595"/>
    </row>
    <row r="468" spans="1:29" ht="12.75" customHeight="1">
      <c r="A468" s="601"/>
      <c r="B468" s="602"/>
      <c r="C468" s="602"/>
      <c r="D468" s="602"/>
      <c r="E468" s="602"/>
      <c r="F468" s="602"/>
      <c r="G468" s="602"/>
      <c r="H468" s="602"/>
      <c r="I468" s="602"/>
      <c r="J468" s="602"/>
      <c r="K468" s="602"/>
      <c r="L468" s="603"/>
      <c r="M468" s="603"/>
      <c r="N468" s="603"/>
      <c r="O468" s="603"/>
      <c r="P468" s="603"/>
      <c r="Q468" s="595"/>
      <c r="R468" s="595"/>
      <c r="S468" s="595"/>
      <c r="T468" s="595"/>
      <c r="U468" s="595"/>
      <c r="V468" s="595"/>
      <c r="W468" s="594"/>
      <c r="X468" s="594"/>
      <c r="Y468" s="595"/>
      <c r="Z468" s="595"/>
      <c r="AA468" s="595"/>
      <c r="AB468" s="595"/>
      <c r="AC468" s="595"/>
    </row>
    <row r="469" spans="1:29" ht="12.75" customHeight="1">
      <c r="A469" s="601"/>
      <c r="B469" s="602"/>
      <c r="C469" s="602"/>
      <c r="D469" s="602"/>
      <c r="E469" s="602"/>
      <c r="F469" s="602"/>
      <c r="G469" s="602"/>
      <c r="H469" s="602"/>
      <c r="I469" s="602"/>
      <c r="J469" s="602"/>
      <c r="K469" s="602"/>
      <c r="L469" s="603"/>
      <c r="M469" s="603"/>
      <c r="N469" s="603"/>
      <c r="O469" s="603"/>
      <c r="P469" s="603"/>
      <c r="Q469" s="595"/>
      <c r="R469" s="595"/>
      <c r="S469" s="595"/>
      <c r="T469" s="595"/>
      <c r="U469" s="595"/>
      <c r="V469" s="595"/>
      <c r="W469" s="594"/>
      <c r="X469" s="594"/>
      <c r="Y469" s="595"/>
      <c r="Z469" s="595"/>
      <c r="AA469" s="595"/>
      <c r="AB469" s="595"/>
      <c r="AC469" s="595"/>
    </row>
    <row r="470" spans="1:29" ht="12.75" customHeight="1">
      <c r="A470" s="601"/>
      <c r="B470" s="602"/>
      <c r="C470" s="602"/>
      <c r="D470" s="602"/>
      <c r="E470" s="602"/>
      <c r="F470" s="602"/>
      <c r="G470" s="602"/>
      <c r="H470" s="602"/>
      <c r="I470" s="602"/>
      <c r="J470" s="602"/>
      <c r="K470" s="602"/>
      <c r="L470" s="603"/>
      <c r="M470" s="603"/>
      <c r="N470" s="603"/>
      <c r="O470" s="603"/>
      <c r="P470" s="603"/>
      <c r="Q470" s="595"/>
      <c r="R470" s="595"/>
      <c r="S470" s="595"/>
      <c r="T470" s="595"/>
      <c r="U470" s="595"/>
      <c r="V470" s="595"/>
      <c r="W470" s="594"/>
      <c r="X470" s="594"/>
      <c r="Y470" s="595"/>
      <c r="Z470" s="595"/>
      <c r="AA470" s="595"/>
      <c r="AB470" s="595"/>
      <c r="AC470" s="595"/>
    </row>
    <row r="471" spans="1:29" ht="12.75" customHeight="1">
      <c r="A471" s="601"/>
      <c r="B471" s="602"/>
      <c r="C471" s="602"/>
      <c r="D471" s="602"/>
      <c r="E471" s="602"/>
      <c r="F471" s="602"/>
      <c r="G471" s="602"/>
      <c r="H471" s="602"/>
      <c r="I471" s="602"/>
      <c r="J471" s="602"/>
      <c r="K471" s="602"/>
      <c r="L471" s="603"/>
      <c r="M471" s="603"/>
      <c r="N471" s="603"/>
      <c r="O471" s="603"/>
      <c r="P471" s="603"/>
      <c r="Q471" s="595"/>
      <c r="R471" s="595"/>
      <c r="S471" s="595"/>
      <c r="T471" s="595"/>
      <c r="U471" s="595"/>
      <c r="V471" s="595"/>
      <c r="W471" s="594"/>
      <c r="X471" s="594"/>
      <c r="Y471" s="595"/>
      <c r="Z471" s="595"/>
      <c r="AA471" s="595"/>
      <c r="AB471" s="595"/>
      <c r="AC471" s="595"/>
    </row>
    <row r="472" spans="1:29" ht="12.75" customHeight="1">
      <c r="A472" s="601"/>
      <c r="B472" s="602"/>
      <c r="C472" s="602"/>
      <c r="D472" s="602"/>
      <c r="E472" s="602"/>
      <c r="F472" s="602"/>
      <c r="G472" s="602"/>
      <c r="H472" s="602"/>
      <c r="I472" s="602"/>
      <c r="J472" s="602"/>
      <c r="K472" s="602"/>
      <c r="L472" s="603"/>
      <c r="M472" s="603"/>
      <c r="N472" s="603"/>
      <c r="O472" s="603"/>
      <c r="P472" s="603"/>
      <c r="Q472" s="595"/>
      <c r="R472" s="595"/>
      <c r="S472" s="595"/>
      <c r="T472" s="595"/>
      <c r="U472" s="595"/>
      <c r="V472" s="595"/>
      <c r="W472" s="594"/>
      <c r="X472" s="594"/>
      <c r="Y472" s="595"/>
      <c r="Z472" s="595"/>
      <c r="AA472" s="595"/>
      <c r="AB472" s="595"/>
      <c r="AC472" s="595"/>
    </row>
    <row r="473" spans="1:29" ht="12.75" customHeight="1">
      <c r="A473" s="601"/>
      <c r="B473" s="602"/>
      <c r="C473" s="602"/>
      <c r="D473" s="602"/>
      <c r="E473" s="602"/>
      <c r="F473" s="602"/>
      <c r="G473" s="602"/>
      <c r="H473" s="602"/>
      <c r="I473" s="602"/>
      <c r="J473" s="602"/>
      <c r="K473" s="602"/>
      <c r="L473" s="603"/>
      <c r="M473" s="603"/>
      <c r="N473" s="603"/>
      <c r="O473" s="603"/>
      <c r="P473" s="603"/>
      <c r="Q473" s="595"/>
      <c r="R473" s="595"/>
      <c r="S473" s="595"/>
      <c r="T473" s="595"/>
      <c r="U473" s="595"/>
      <c r="V473" s="595"/>
      <c r="W473" s="594"/>
      <c r="X473" s="594"/>
      <c r="Y473" s="595"/>
      <c r="Z473" s="595"/>
      <c r="AA473" s="595"/>
      <c r="AB473" s="595"/>
      <c r="AC473" s="595"/>
    </row>
    <row r="474" spans="1:29" ht="12.75" customHeight="1">
      <c r="A474" s="601"/>
      <c r="B474" s="602"/>
      <c r="C474" s="602"/>
      <c r="D474" s="602"/>
      <c r="E474" s="602"/>
      <c r="F474" s="602"/>
      <c r="G474" s="602"/>
      <c r="H474" s="602"/>
      <c r="I474" s="602"/>
      <c r="J474" s="602"/>
      <c r="K474" s="602"/>
      <c r="L474" s="603"/>
      <c r="M474" s="603"/>
      <c r="N474" s="603"/>
      <c r="O474" s="603"/>
      <c r="P474" s="603"/>
      <c r="Q474" s="595"/>
      <c r="R474" s="595"/>
      <c r="S474" s="595"/>
      <c r="T474" s="595"/>
      <c r="U474" s="595"/>
      <c r="V474" s="595"/>
      <c r="W474" s="594"/>
      <c r="X474" s="594"/>
      <c r="Y474" s="595"/>
      <c r="Z474" s="595"/>
      <c r="AA474" s="595"/>
      <c r="AB474" s="595"/>
      <c r="AC474" s="595"/>
    </row>
    <row r="475" spans="1:29" ht="12.75" customHeight="1">
      <c r="A475" s="601"/>
      <c r="B475" s="602"/>
      <c r="C475" s="602"/>
      <c r="D475" s="602"/>
      <c r="E475" s="602"/>
      <c r="F475" s="602"/>
      <c r="G475" s="602"/>
      <c r="H475" s="602"/>
      <c r="I475" s="602"/>
      <c r="J475" s="602"/>
      <c r="K475" s="602"/>
      <c r="L475" s="603"/>
      <c r="M475" s="603"/>
      <c r="N475" s="603"/>
      <c r="O475" s="603"/>
      <c r="P475" s="603"/>
      <c r="Q475" s="595"/>
      <c r="R475" s="595"/>
      <c r="S475" s="595"/>
      <c r="T475" s="595"/>
      <c r="U475" s="595"/>
      <c r="V475" s="595"/>
      <c r="W475" s="594"/>
      <c r="X475" s="594"/>
      <c r="Y475" s="595"/>
      <c r="Z475" s="595"/>
      <c r="AA475" s="595"/>
      <c r="AB475" s="595"/>
      <c r="AC475" s="595"/>
    </row>
    <row r="476" spans="1:29" ht="12.75" customHeight="1">
      <c r="A476" s="601"/>
      <c r="B476" s="602"/>
      <c r="C476" s="602"/>
      <c r="D476" s="602"/>
      <c r="E476" s="602"/>
      <c r="F476" s="602"/>
      <c r="G476" s="602"/>
      <c r="H476" s="602"/>
      <c r="I476" s="602"/>
      <c r="J476" s="602"/>
      <c r="K476" s="602"/>
      <c r="L476" s="603"/>
      <c r="M476" s="603"/>
      <c r="N476" s="603"/>
      <c r="O476" s="603"/>
      <c r="P476" s="603"/>
      <c r="Q476" s="595"/>
      <c r="R476" s="595"/>
      <c r="S476" s="595"/>
      <c r="T476" s="595"/>
      <c r="U476" s="595"/>
      <c r="V476" s="595"/>
      <c r="W476" s="594"/>
      <c r="X476" s="594"/>
      <c r="Y476" s="595"/>
      <c r="Z476" s="595"/>
      <c r="AA476" s="595"/>
      <c r="AB476" s="595"/>
      <c r="AC476" s="595"/>
    </row>
    <row r="477" spans="1:29" ht="12.75" customHeight="1">
      <c r="A477" s="601"/>
      <c r="B477" s="602"/>
      <c r="C477" s="602"/>
      <c r="D477" s="602"/>
      <c r="E477" s="602"/>
      <c r="F477" s="602"/>
      <c r="G477" s="602"/>
      <c r="H477" s="602"/>
      <c r="I477" s="602"/>
      <c r="J477" s="602"/>
      <c r="K477" s="602"/>
      <c r="L477" s="603"/>
      <c r="M477" s="603"/>
      <c r="N477" s="603"/>
      <c r="O477" s="603"/>
      <c r="P477" s="603"/>
      <c r="Q477" s="595"/>
      <c r="R477" s="595"/>
      <c r="S477" s="595"/>
      <c r="T477" s="595"/>
      <c r="U477" s="595"/>
      <c r="V477" s="595"/>
      <c r="W477" s="594"/>
      <c r="X477" s="594"/>
      <c r="Y477" s="595"/>
      <c r="Z477" s="595"/>
      <c r="AA477" s="595"/>
      <c r="AB477" s="595"/>
      <c r="AC477" s="595"/>
    </row>
    <row r="478" spans="1:29" ht="12.75" customHeight="1">
      <c r="A478" s="601"/>
      <c r="B478" s="602"/>
      <c r="C478" s="602"/>
      <c r="D478" s="602"/>
      <c r="E478" s="602"/>
      <c r="F478" s="602"/>
      <c r="G478" s="602"/>
      <c r="H478" s="602"/>
      <c r="I478" s="602"/>
      <c r="J478" s="602"/>
      <c r="K478" s="602"/>
      <c r="L478" s="603"/>
      <c r="M478" s="603"/>
      <c r="N478" s="603"/>
      <c r="O478" s="603"/>
      <c r="P478" s="603"/>
      <c r="Q478" s="595"/>
      <c r="R478" s="595"/>
      <c r="S478" s="595"/>
      <c r="T478" s="595"/>
      <c r="U478" s="595"/>
      <c r="V478" s="595"/>
      <c r="W478" s="594"/>
      <c r="X478" s="594"/>
      <c r="Y478" s="595"/>
      <c r="Z478" s="595"/>
      <c r="AA478" s="595"/>
      <c r="AB478" s="595"/>
      <c r="AC478" s="595"/>
    </row>
    <row r="479" spans="1:29" ht="12.75" customHeight="1">
      <c r="A479" s="601"/>
      <c r="B479" s="602"/>
      <c r="C479" s="602"/>
      <c r="D479" s="602"/>
      <c r="E479" s="602"/>
      <c r="F479" s="602"/>
      <c r="G479" s="602"/>
      <c r="H479" s="602"/>
      <c r="I479" s="602"/>
      <c r="J479" s="602"/>
      <c r="K479" s="602"/>
      <c r="L479" s="603"/>
      <c r="M479" s="603"/>
      <c r="N479" s="603"/>
      <c r="O479" s="603"/>
      <c r="P479" s="603"/>
      <c r="Q479" s="595"/>
      <c r="R479" s="595"/>
      <c r="S479" s="595"/>
      <c r="T479" s="595"/>
      <c r="U479" s="595"/>
      <c r="V479" s="595"/>
      <c r="W479" s="594"/>
      <c r="X479" s="594"/>
      <c r="Y479" s="595"/>
      <c r="Z479" s="595"/>
      <c r="AA479" s="595"/>
      <c r="AB479" s="595"/>
      <c r="AC479" s="595"/>
    </row>
    <row r="480" spans="1:29" ht="12.75" customHeight="1">
      <c r="A480" s="601"/>
      <c r="B480" s="602"/>
      <c r="C480" s="602"/>
      <c r="D480" s="602"/>
      <c r="E480" s="602"/>
      <c r="F480" s="602"/>
      <c r="G480" s="602"/>
      <c r="H480" s="602"/>
      <c r="I480" s="602"/>
      <c r="J480" s="602"/>
      <c r="K480" s="602"/>
      <c r="L480" s="603"/>
      <c r="M480" s="603"/>
      <c r="N480" s="603"/>
      <c r="O480" s="603"/>
      <c r="P480" s="603"/>
      <c r="Q480" s="595"/>
      <c r="R480" s="595"/>
      <c r="S480" s="595"/>
      <c r="T480" s="595"/>
      <c r="U480" s="595"/>
      <c r="V480" s="595"/>
      <c r="W480" s="594"/>
      <c r="X480" s="594"/>
      <c r="Y480" s="595"/>
      <c r="Z480" s="595"/>
      <c r="AA480" s="595"/>
      <c r="AB480" s="595"/>
      <c r="AC480" s="595"/>
    </row>
    <row r="481" spans="1:29" ht="12.75" customHeight="1">
      <c r="A481" s="601"/>
      <c r="B481" s="602"/>
      <c r="C481" s="602"/>
      <c r="D481" s="602"/>
      <c r="E481" s="602"/>
      <c r="F481" s="602"/>
      <c r="G481" s="602"/>
      <c r="H481" s="602"/>
      <c r="I481" s="602"/>
      <c r="J481" s="602"/>
      <c r="K481" s="602"/>
      <c r="L481" s="603"/>
      <c r="M481" s="603"/>
      <c r="N481" s="603"/>
      <c r="O481" s="603"/>
      <c r="P481" s="603"/>
      <c r="Q481" s="595"/>
      <c r="R481" s="595"/>
      <c r="S481" s="595"/>
      <c r="T481" s="595"/>
      <c r="U481" s="595"/>
      <c r="V481" s="595"/>
      <c r="W481" s="594"/>
      <c r="X481" s="594"/>
      <c r="Y481" s="595"/>
      <c r="Z481" s="595"/>
      <c r="AA481" s="595"/>
      <c r="AB481" s="595"/>
      <c r="AC481" s="595"/>
    </row>
    <row r="482" spans="1:29" ht="12.75" customHeight="1">
      <c r="A482" s="601"/>
      <c r="B482" s="602"/>
      <c r="C482" s="602"/>
      <c r="D482" s="602"/>
      <c r="E482" s="602"/>
      <c r="F482" s="602"/>
      <c r="G482" s="602"/>
      <c r="H482" s="602"/>
      <c r="I482" s="602"/>
      <c r="J482" s="602"/>
      <c r="K482" s="602"/>
      <c r="L482" s="603"/>
      <c r="M482" s="603"/>
      <c r="N482" s="603"/>
      <c r="O482" s="603"/>
      <c r="P482" s="603"/>
      <c r="Q482" s="595"/>
      <c r="R482" s="595"/>
      <c r="S482" s="595"/>
      <c r="T482" s="595"/>
      <c r="U482" s="595"/>
      <c r="V482" s="595"/>
      <c r="W482" s="594"/>
      <c r="X482" s="594"/>
      <c r="Y482" s="595"/>
      <c r="Z482" s="595"/>
      <c r="AA482" s="595"/>
      <c r="AB482" s="595"/>
      <c r="AC482" s="595"/>
    </row>
    <row r="483" spans="1:29" ht="12.75" customHeight="1">
      <c r="A483" s="601"/>
      <c r="B483" s="602"/>
      <c r="C483" s="602"/>
      <c r="D483" s="602"/>
      <c r="E483" s="602"/>
      <c r="F483" s="602"/>
      <c r="G483" s="602"/>
      <c r="H483" s="602"/>
      <c r="I483" s="602"/>
      <c r="J483" s="602"/>
      <c r="K483" s="602"/>
      <c r="L483" s="603"/>
      <c r="M483" s="603"/>
      <c r="N483" s="603"/>
      <c r="O483" s="603"/>
      <c r="P483" s="603"/>
      <c r="Q483" s="595"/>
      <c r="R483" s="595"/>
      <c r="S483" s="595"/>
      <c r="T483" s="595"/>
      <c r="U483" s="595"/>
      <c r="V483" s="595"/>
      <c r="W483" s="594"/>
      <c r="X483" s="594"/>
      <c r="Y483" s="595"/>
      <c r="Z483" s="595"/>
      <c r="AA483" s="595"/>
      <c r="AB483" s="595"/>
      <c r="AC483" s="595"/>
    </row>
    <row r="484" spans="1:29" ht="12.75" customHeight="1">
      <c r="A484" s="601"/>
      <c r="B484" s="602"/>
      <c r="C484" s="602"/>
      <c r="D484" s="602"/>
      <c r="E484" s="602"/>
      <c r="F484" s="602"/>
      <c r="G484" s="602"/>
      <c r="H484" s="602"/>
      <c r="I484" s="602"/>
      <c r="J484" s="602"/>
      <c r="K484" s="602"/>
      <c r="L484" s="603"/>
      <c r="M484" s="603"/>
      <c r="N484" s="603"/>
      <c r="O484" s="603"/>
      <c r="P484" s="603"/>
      <c r="Q484" s="595"/>
      <c r="R484" s="595"/>
      <c r="S484" s="595"/>
      <c r="T484" s="595"/>
      <c r="U484" s="595"/>
      <c r="V484" s="595"/>
      <c r="W484" s="594"/>
      <c r="X484" s="594"/>
      <c r="Y484" s="595"/>
      <c r="Z484" s="595"/>
      <c r="AA484" s="595"/>
      <c r="AB484" s="595"/>
      <c r="AC484" s="595"/>
    </row>
    <row r="485" spans="1:29" ht="12.75" customHeight="1">
      <c r="A485" s="601"/>
      <c r="B485" s="602"/>
      <c r="C485" s="602"/>
      <c r="D485" s="602"/>
      <c r="E485" s="602"/>
      <c r="F485" s="602"/>
      <c r="G485" s="602"/>
      <c r="H485" s="602"/>
      <c r="I485" s="602"/>
      <c r="J485" s="602"/>
      <c r="K485" s="602"/>
      <c r="L485" s="603"/>
      <c r="M485" s="603"/>
      <c r="N485" s="603"/>
      <c r="O485" s="603"/>
      <c r="P485" s="603"/>
      <c r="Q485" s="595"/>
      <c r="R485" s="595"/>
      <c r="S485" s="595"/>
      <c r="T485" s="595"/>
      <c r="U485" s="595"/>
      <c r="V485" s="595"/>
      <c r="W485" s="594"/>
      <c r="X485" s="594"/>
      <c r="Y485" s="595"/>
      <c r="Z485" s="595"/>
      <c r="AA485" s="595"/>
      <c r="AB485" s="595"/>
      <c r="AC485" s="595"/>
    </row>
    <row r="486" spans="1:29" ht="12.75" customHeight="1">
      <c r="A486" s="601"/>
      <c r="B486" s="602"/>
      <c r="C486" s="602"/>
      <c r="D486" s="602"/>
      <c r="E486" s="602"/>
      <c r="F486" s="602"/>
      <c r="G486" s="602"/>
      <c r="H486" s="602"/>
      <c r="I486" s="602"/>
      <c r="J486" s="602"/>
      <c r="K486" s="602"/>
      <c r="L486" s="603"/>
      <c r="M486" s="603"/>
      <c r="N486" s="603"/>
      <c r="O486" s="603"/>
      <c r="P486" s="603"/>
      <c r="Q486" s="595"/>
      <c r="R486" s="595"/>
      <c r="S486" s="595"/>
      <c r="T486" s="595"/>
      <c r="U486" s="595"/>
      <c r="V486" s="595"/>
      <c r="W486" s="594"/>
      <c r="X486" s="594"/>
      <c r="Y486" s="595"/>
      <c r="Z486" s="595"/>
      <c r="AA486" s="595"/>
      <c r="AB486" s="595"/>
      <c r="AC486" s="595"/>
    </row>
    <row r="487" spans="1:29" ht="12.75" customHeight="1">
      <c r="A487" s="601"/>
      <c r="B487" s="602"/>
      <c r="C487" s="602"/>
      <c r="D487" s="602"/>
      <c r="E487" s="602"/>
      <c r="F487" s="602"/>
      <c r="G487" s="602"/>
      <c r="H487" s="602"/>
      <c r="I487" s="602"/>
      <c r="J487" s="602"/>
      <c r="K487" s="602"/>
      <c r="L487" s="603"/>
      <c r="M487" s="603"/>
      <c r="N487" s="603"/>
      <c r="O487" s="603"/>
      <c r="P487" s="603"/>
      <c r="Q487" s="595"/>
      <c r="R487" s="595"/>
      <c r="S487" s="595"/>
      <c r="T487" s="595"/>
      <c r="U487" s="595"/>
      <c r="V487" s="595"/>
      <c r="W487" s="594"/>
      <c r="X487" s="594"/>
      <c r="Y487" s="595"/>
      <c r="Z487" s="595"/>
      <c r="AA487" s="595"/>
      <c r="AB487" s="595"/>
      <c r="AC487" s="595"/>
    </row>
    <row r="488" spans="1:29" ht="12.75" customHeight="1">
      <c r="A488" s="601"/>
      <c r="B488" s="602"/>
      <c r="C488" s="602"/>
      <c r="D488" s="602"/>
      <c r="E488" s="602"/>
      <c r="F488" s="602"/>
      <c r="G488" s="602"/>
      <c r="H488" s="602"/>
      <c r="I488" s="602"/>
      <c r="J488" s="602"/>
      <c r="K488" s="602"/>
      <c r="L488" s="603"/>
      <c r="M488" s="603"/>
      <c r="N488" s="603"/>
      <c r="O488" s="603"/>
      <c r="P488" s="603"/>
      <c r="Q488" s="595"/>
      <c r="R488" s="595"/>
      <c r="S488" s="595"/>
      <c r="T488" s="595"/>
      <c r="U488" s="595"/>
      <c r="V488" s="595"/>
      <c r="W488" s="594"/>
      <c r="X488" s="594"/>
      <c r="Y488" s="595"/>
      <c r="Z488" s="595"/>
      <c r="AA488" s="595"/>
      <c r="AB488" s="595"/>
      <c r="AC488" s="595"/>
    </row>
    <row r="489" spans="1:29" ht="12.75" customHeight="1">
      <c r="A489" s="601"/>
      <c r="B489" s="602"/>
      <c r="C489" s="602"/>
      <c r="D489" s="602"/>
      <c r="E489" s="602"/>
      <c r="F489" s="602"/>
      <c r="G489" s="602"/>
      <c r="H489" s="602"/>
      <c r="I489" s="602"/>
      <c r="J489" s="602"/>
      <c r="K489" s="602"/>
      <c r="L489" s="603"/>
      <c r="M489" s="603"/>
      <c r="N489" s="603"/>
      <c r="O489" s="603"/>
      <c r="P489" s="603"/>
      <c r="Q489" s="595"/>
      <c r="R489" s="595"/>
      <c r="S489" s="595"/>
      <c r="T489" s="595"/>
      <c r="U489" s="595"/>
      <c r="V489" s="595"/>
      <c r="W489" s="594"/>
      <c r="X489" s="594"/>
      <c r="Y489" s="595"/>
      <c r="Z489" s="595"/>
      <c r="AA489" s="595"/>
      <c r="AB489" s="595"/>
      <c r="AC489" s="595"/>
    </row>
    <row r="490" spans="1:29" ht="12.75" customHeight="1">
      <c r="A490" s="601"/>
      <c r="B490" s="602"/>
      <c r="C490" s="602"/>
      <c r="D490" s="602"/>
      <c r="E490" s="602"/>
      <c r="F490" s="602"/>
      <c r="G490" s="602"/>
      <c r="H490" s="602"/>
      <c r="I490" s="602"/>
      <c r="J490" s="602"/>
      <c r="K490" s="602"/>
      <c r="L490" s="603"/>
      <c r="M490" s="603"/>
      <c r="N490" s="603"/>
      <c r="O490" s="603"/>
      <c r="P490" s="603"/>
      <c r="Q490" s="595"/>
      <c r="R490" s="595"/>
      <c r="S490" s="595"/>
      <c r="T490" s="595"/>
      <c r="U490" s="595"/>
      <c r="V490" s="595"/>
      <c r="W490" s="594"/>
      <c r="X490" s="594"/>
      <c r="Y490" s="595"/>
      <c r="Z490" s="595"/>
      <c r="AA490" s="595"/>
      <c r="AB490" s="595"/>
      <c r="AC490" s="595"/>
    </row>
    <row r="491" spans="1:29" ht="12.75" customHeight="1">
      <c r="A491" s="601"/>
      <c r="B491" s="602"/>
      <c r="C491" s="602"/>
      <c r="D491" s="602"/>
      <c r="E491" s="602"/>
      <c r="F491" s="602"/>
      <c r="G491" s="602"/>
      <c r="H491" s="602"/>
      <c r="I491" s="602"/>
      <c r="J491" s="602"/>
      <c r="K491" s="602"/>
      <c r="L491" s="603"/>
      <c r="M491" s="603"/>
      <c r="N491" s="603"/>
      <c r="O491" s="603"/>
      <c r="P491" s="603"/>
      <c r="Q491" s="595"/>
      <c r="R491" s="595"/>
      <c r="S491" s="595"/>
      <c r="T491" s="595"/>
      <c r="U491" s="595"/>
      <c r="V491" s="595"/>
      <c r="W491" s="594"/>
      <c r="X491" s="594"/>
      <c r="Y491" s="595"/>
      <c r="Z491" s="595"/>
      <c r="AA491" s="595"/>
      <c r="AB491" s="595"/>
      <c r="AC491" s="595"/>
    </row>
    <row r="492" spans="1:29" ht="12.75" customHeight="1">
      <c r="A492" s="601"/>
      <c r="B492" s="602"/>
      <c r="C492" s="602"/>
      <c r="D492" s="602"/>
      <c r="E492" s="602"/>
      <c r="F492" s="602"/>
      <c r="G492" s="602"/>
      <c r="H492" s="602"/>
      <c r="I492" s="602"/>
      <c r="J492" s="602"/>
      <c r="K492" s="602"/>
      <c r="L492" s="603"/>
      <c r="M492" s="603"/>
      <c r="N492" s="603"/>
      <c r="O492" s="603"/>
      <c r="P492" s="603"/>
      <c r="Q492" s="595"/>
      <c r="R492" s="595"/>
      <c r="S492" s="595"/>
      <c r="T492" s="595"/>
      <c r="U492" s="595"/>
      <c r="V492" s="595"/>
      <c r="W492" s="594"/>
      <c r="X492" s="594"/>
      <c r="Y492" s="595"/>
      <c r="Z492" s="595"/>
      <c r="AA492" s="595"/>
      <c r="AB492" s="595"/>
      <c r="AC492" s="595"/>
    </row>
    <row r="493" spans="1:29" ht="12.75" customHeight="1">
      <c r="A493" s="601"/>
      <c r="B493" s="602"/>
      <c r="C493" s="602"/>
      <c r="D493" s="602"/>
      <c r="E493" s="602"/>
      <c r="F493" s="602"/>
      <c r="G493" s="602"/>
      <c r="H493" s="602"/>
      <c r="I493" s="602"/>
      <c r="J493" s="602"/>
      <c r="K493" s="602"/>
      <c r="L493" s="603"/>
      <c r="M493" s="603"/>
      <c r="N493" s="603"/>
      <c r="O493" s="603"/>
      <c r="P493" s="603"/>
      <c r="Q493" s="595"/>
      <c r="R493" s="595"/>
      <c r="S493" s="595"/>
      <c r="T493" s="595"/>
      <c r="U493" s="595"/>
      <c r="V493" s="595"/>
      <c r="W493" s="594"/>
      <c r="X493" s="594"/>
      <c r="Y493" s="595"/>
      <c r="Z493" s="595"/>
      <c r="AA493" s="595"/>
      <c r="AB493" s="595"/>
      <c r="AC493" s="595"/>
    </row>
    <row r="494" spans="1:29" ht="12.75" customHeight="1">
      <c r="A494" s="601"/>
      <c r="B494" s="602"/>
      <c r="C494" s="602"/>
      <c r="D494" s="602"/>
      <c r="E494" s="602"/>
      <c r="F494" s="602"/>
      <c r="G494" s="602"/>
      <c r="H494" s="602"/>
      <c r="I494" s="602"/>
      <c r="J494" s="602"/>
      <c r="K494" s="602"/>
      <c r="L494" s="603"/>
      <c r="M494" s="603"/>
      <c r="N494" s="603"/>
      <c r="O494" s="603"/>
      <c r="P494" s="603"/>
      <c r="Q494" s="595"/>
      <c r="R494" s="595"/>
      <c r="S494" s="595"/>
      <c r="T494" s="595"/>
      <c r="U494" s="595"/>
      <c r="V494" s="595"/>
      <c r="W494" s="594"/>
      <c r="X494" s="594"/>
      <c r="Y494" s="595"/>
      <c r="Z494" s="595"/>
      <c r="AA494" s="595"/>
      <c r="AB494" s="595"/>
      <c r="AC494" s="595"/>
    </row>
    <row r="495" spans="1:29" ht="12.75" customHeight="1">
      <c r="A495" s="601"/>
      <c r="B495" s="602"/>
      <c r="C495" s="602"/>
      <c r="D495" s="602"/>
      <c r="E495" s="602"/>
      <c r="F495" s="602"/>
      <c r="G495" s="602"/>
      <c r="H495" s="602"/>
      <c r="I495" s="602"/>
      <c r="J495" s="602"/>
      <c r="K495" s="602"/>
      <c r="L495" s="603"/>
      <c r="M495" s="603"/>
      <c r="N495" s="603"/>
      <c r="O495" s="603"/>
      <c r="P495" s="603"/>
      <c r="Q495" s="595"/>
      <c r="R495" s="595"/>
      <c r="S495" s="595"/>
      <c r="T495" s="595"/>
      <c r="U495" s="595"/>
      <c r="V495" s="595"/>
      <c r="W495" s="594"/>
      <c r="X495" s="594"/>
      <c r="Y495" s="595"/>
      <c r="Z495" s="595"/>
      <c r="AA495" s="595"/>
      <c r="AB495" s="595"/>
      <c r="AC495" s="595"/>
    </row>
    <row r="496" spans="1:29" ht="12.75" customHeight="1">
      <c r="A496" s="601"/>
      <c r="B496" s="602"/>
      <c r="C496" s="602"/>
      <c r="D496" s="602"/>
      <c r="E496" s="602"/>
      <c r="F496" s="602"/>
      <c r="G496" s="602"/>
      <c r="H496" s="602"/>
      <c r="I496" s="602"/>
      <c r="J496" s="602"/>
      <c r="K496" s="602"/>
      <c r="L496" s="603"/>
      <c r="M496" s="603"/>
      <c r="N496" s="603"/>
      <c r="O496" s="603"/>
      <c r="P496" s="603"/>
      <c r="Q496" s="595"/>
      <c r="R496" s="595"/>
      <c r="S496" s="595"/>
      <c r="T496" s="595"/>
      <c r="U496" s="595"/>
      <c r="V496" s="595"/>
      <c r="W496" s="594"/>
      <c r="X496" s="594"/>
      <c r="Y496" s="595"/>
      <c r="Z496" s="595"/>
      <c r="AA496" s="595"/>
      <c r="AB496" s="595"/>
      <c r="AC496" s="595"/>
    </row>
    <row r="497" spans="1:29" ht="12.75" customHeight="1">
      <c r="A497" s="601"/>
      <c r="B497" s="602"/>
      <c r="C497" s="602"/>
      <c r="D497" s="602"/>
      <c r="E497" s="602"/>
      <c r="F497" s="602"/>
      <c r="G497" s="602"/>
      <c r="H497" s="602"/>
      <c r="I497" s="602"/>
      <c r="J497" s="602"/>
      <c r="K497" s="602"/>
      <c r="L497" s="603"/>
      <c r="M497" s="603"/>
      <c r="N497" s="603"/>
      <c r="O497" s="603"/>
      <c r="P497" s="603"/>
      <c r="Q497" s="595"/>
      <c r="R497" s="595"/>
      <c r="S497" s="595"/>
      <c r="T497" s="595"/>
      <c r="U497" s="595"/>
      <c r="V497" s="595"/>
      <c r="W497" s="594"/>
      <c r="X497" s="594"/>
      <c r="Y497" s="595"/>
      <c r="Z497" s="595"/>
      <c r="AA497" s="595"/>
      <c r="AB497" s="595"/>
      <c r="AC497" s="595"/>
    </row>
    <row r="498" spans="1:29" ht="12.75" customHeight="1">
      <c r="A498" s="601"/>
      <c r="B498" s="602"/>
      <c r="C498" s="602"/>
      <c r="D498" s="602"/>
      <c r="E498" s="602"/>
      <c r="F498" s="602"/>
      <c r="G498" s="602"/>
      <c r="H498" s="602"/>
      <c r="I498" s="602"/>
      <c r="J498" s="602"/>
      <c r="K498" s="602"/>
      <c r="L498" s="603"/>
      <c r="M498" s="603"/>
      <c r="N498" s="603"/>
      <c r="O498" s="603"/>
      <c r="P498" s="603"/>
      <c r="Q498" s="595"/>
      <c r="R498" s="595"/>
      <c r="S498" s="595"/>
      <c r="T498" s="595"/>
      <c r="U498" s="595"/>
      <c r="V498" s="595"/>
      <c r="W498" s="594"/>
      <c r="X498" s="594"/>
      <c r="Y498" s="595"/>
      <c r="Z498" s="595"/>
      <c r="AA498" s="595"/>
      <c r="AB498" s="595"/>
      <c r="AC498" s="595"/>
    </row>
    <row r="499" spans="1:29" ht="12.75" customHeight="1">
      <c r="A499" s="601"/>
      <c r="B499" s="602"/>
      <c r="C499" s="602"/>
      <c r="D499" s="602"/>
      <c r="E499" s="602"/>
      <c r="F499" s="602"/>
      <c r="G499" s="602"/>
      <c r="H499" s="602"/>
      <c r="I499" s="602"/>
      <c r="J499" s="602"/>
      <c r="K499" s="602"/>
      <c r="L499" s="603"/>
      <c r="M499" s="603"/>
      <c r="N499" s="603"/>
      <c r="O499" s="603"/>
      <c r="P499" s="603"/>
      <c r="Q499" s="595"/>
      <c r="R499" s="595"/>
      <c r="S499" s="595"/>
      <c r="T499" s="595"/>
      <c r="U499" s="595"/>
      <c r="V499" s="595"/>
      <c r="W499" s="594"/>
      <c r="X499" s="594"/>
      <c r="Y499" s="595"/>
      <c r="Z499" s="595"/>
      <c r="AA499" s="595"/>
      <c r="AB499" s="595"/>
      <c r="AC499" s="595"/>
    </row>
    <row r="500" spans="1:29" ht="12.75" customHeight="1">
      <c r="A500" s="601"/>
      <c r="B500" s="602"/>
      <c r="C500" s="602"/>
      <c r="D500" s="602"/>
      <c r="E500" s="602"/>
      <c r="F500" s="602"/>
      <c r="G500" s="602"/>
      <c r="H500" s="602"/>
      <c r="I500" s="602"/>
      <c r="J500" s="602"/>
      <c r="K500" s="602"/>
      <c r="L500" s="603"/>
      <c r="M500" s="603"/>
      <c r="N500" s="603"/>
      <c r="O500" s="603"/>
      <c r="P500" s="603"/>
      <c r="Q500" s="595"/>
      <c r="R500" s="595"/>
      <c r="S500" s="595"/>
      <c r="T500" s="595"/>
      <c r="U500" s="595"/>
      <c r="V500" s="595"/>
      <c r="W500" s="594"/>
      <c r="X500" s="594"/>
      <c r="Y500" s="595"/>
      <c r="Z500" s="595"/>
      <c r="AA500" s="595"/>
      <c r="AB500" s="595"/>
      <c r="AC500" s="595"/>
    </row>
    <row r="501" spans="1:29" ht="12.75" customHeight="1">
      <c r="A501" s="601"/>
      <c r="B501" s="602"/>
      <c r="C501" s="602"/>
      <c r="D501" s="602"/>
      <c r="E501" s="602"/>
      <c r="F501" s="602"/>
      <c r="G501" s="602"/>
      <c r="H501" s="602"/>
      <c r="I501" s="602"/>
      <c r="J501" s="602"/>
      <c r="K501" s="602"/>
      <c r="L501" s="603"/>
      <c r="M501" s="603"/>
      <c r="N501" s="603"/>
      <c r="O501" s="603"/>
      <c r="P501" s="603"/>
      <c r="Q501" s="595"/>
      <c r="R501" s="595"/>
      <c r="S501" s="595"/>
      <c r="T501" s="595"/>
      <c r="U501" s="595"/>
      <c r="V501" s="595"/>
      <c r="W501" s="594"/>
      <c r="X501" s="594"/>
      <c r="Y501" s="595"/>
      <c r="Z501" s="595"/>
      <c r="AA501" s="595"/>
      <c r="AB501" s="595"/>
      <c r="AC501" s="595"/>
    </row>
    <row r="502" spans="1:29" ht="12.75" customHeight="1">
      <c r="A502" s="601"/>
      <c r="B502" s="602"/>
      <c r="C502" s="602"/>
      <c r="D502" s="602"/>
      <c r="E502" s="602"/>
      <c r="F502" s="602"/>
      <c r="G502" s="602"/>
      <c r="H502" s="602"/>
      <c r="I502" s="602"/>
      <c r="J502" s="602"/>
      <c r="K502" s="602"/>
      <c r="L502" s="603"/>
      <c r="M502" s="603"/>
      <c r="N502" s="603"/>
      <c r="O502" s="603"/>
      <c r="P502" s="603"/>
      <c r="Q502" s="595"/>
      <c r="R502" s="595"/>
      <c r="S502" s="595"/>
      <c r="T502" s="595"/>
      <c r="U502" s="595"/>
      <c r="V502" s="595"/>
      <c r="W502" s="594"/>
      <c r="X502" s="594"/>
      <c r="Y502" s="595"/>
      <c r="Z502" s="595"/>
      <c r="AA502" s="595"/>
      <c r="AB502" s="595"/>
      <c r="AC502" s="595"/>
    </row>
    <row r="503" spans="1:29" ht="12.75" customHeight="1">
      <c r="A503" s="601"/>
      <c r="B503" s="602"/>
      <c r="C503" s="602"/>
      <c r="D503" s="602"/>
      <c r="E503" s="602"/>
      <c r="F503" s="602"/>
      <c r="G503" s="602"/>
      <c r="H503" s="602"/>
      <c r="I503" s="602"/>
      <c r="J503" s="602"/>
      <c r="K503" s="602"/>
      <c r="L503" s="603"/>
      <c r="M503" s="603"/>
      <c r="N503" s="603"/>
      <c r="O503" s="603"/>
      <c r="P503" s="603"/>
      <c r="Q503" s="595"/>
      <c r="R503" s="595"/>
      <c r="S503" s="595"/>
      <c r="T503" s="595"/>
      <c r="U503" s="595"/>
      <c r="V503" s="595"/>
      <c r="W503" s="594"/>
      <c r="X503" s="594"/>
      <c r="Y503" s="595"/>
      <c r="Z503" s="595"/>
      <c r="AA503" s="595"/>
      <c r="AB503" s="595"/>
      <c r="AC503" s="595"/>
    </row>
    <row r="504" spans="1:29" ht="12.75" customHeight="1">
      <c r="A504" s="601"/>
      <c r="B504" s="602"/>
      <c r="C504" s="602"/>
      <c r="D504" s="602"/>
      <c r="E504" s="602"/>
      <c r="F504" s="602"/>
      <c r="G504" s="602"/>
      <c r="H504" s="602"/>
      <c r="I504" s="602"/>
      <c r="J504" s="602"/>
      <c r="K504" s="602"/>
      <c r="L504" s="603"/>
      <c r="M504" s="603"/>
      <c r="N504" s="603"/>
      <c r="O504" s="603"/>
      <c r="P504" s="603"/>
      <c r="Q504" s="595"/>
      <c r="R504" s="595"/>
      <c r="S504" s="595"/>
      <c r="T504" s="595"/>
      <c r="U504" s="595"/>
      <c r="V504" s="595"/>
      <c r="W504" s="594"/>
      <c r="X504" s="594"/>
      <c r="Y504" s="595"/>
      <c r="Z504" s="595"/>
      <c r="AA504" s="595"/>
      <c r="AB504" s="595"/>
      <c r="AC504" s="595"/>
    </row>
    <row r="505" spans="1:29" ht="12.75" customHeight="1">
      <c r="A505" s="601"/>
      <c r="B505" s="602"/>
      <c r="C505" s="602"/>
      <c r="D505" s="602"/>
      <c r="E505" s="602"/>
      <c r="F505" s="602"/>
      <c r="G505" s="602"/>
      <c r="H505" s="602"/>
      <c r="I505" s="602"/>
      <c r="J505" s="602"/>
      <c r="K505" s="602"/>
      <c r="L505" s="603"/>
      <c r="M505" s="603"/>
      <c r="N505" s="603"/>
      <c r="O505" s="603"/>
      <c r="P505" s="603"/>
      <c r="Q505" s="595"/>
      <c r="R505" s="595"/>
      <c r="S505" s="595"/>
      <c r="T505" s="595"/>
      <c r="U505" s="595"/>
      <c r="V505" s="595"/>
      <c r="W505" s="594"/>
      <c r="X505" s="594"/>
      <c r="Y505" s="595"/>
      <c r="Z505" s="595"/>
      <c r="AA505" s="595"/>
      <c r="AB505" s="595"/>
      <c r="AC505" s="595"/>
    </row>
    <row r="506" spans="1:29" ht="12.75" customHeight="1">
      <c r="A506" s="601"/>
      <c r="B506" s="602"/>
      <c r="C506" s="602"/>
      <c r="D506" s="602"/>
      <c r="E506" s="602"/>
      <c r="F506" s="602"/>
      <c r="G506" s="602"/>
      <c r="H506" s="602"/>
      <c r="I506" s="602"/>
      <c r="J506" s="602"/>
      <c r="K506" s="602"/>
      <c r="L506" s="603"/>
      <c r="M506" s="603"/>
      <c r="N506" s="603"/>
      <c r="O506" s="603"/>
      <c r="P506" s="603"/>
      <c r="Q506" s="595"/>
      <c r="R506" s="595"/>
      <c r="S506" s="595"/>
      <c r="T506" s="595"/>
      <c r="U506" s="595"/>
      <c r="V506" s="595"/>
      <c r="W506" s="594"/>
      <c r="X506" s="594"/>
      <c r="Y506" s="595"/>
      <c r="Z506" s="595"/>
      <c r="AA506" s="595"/>
      <c r="AB506" s="595"/>
      <c r="AC506" s="595"/>
    </row>
    <row r="507" spans="1:29" ht="12.75" customHeight="1">
      <c r="A507" s="601"/>
      <c r="B507" s="602"/>
      <c r="C507" s="602"/>
      <c r="D507" s="602"/>
      <c r="E507" s="602"/>
      <c r="F507" s="602"/>
      <c r="G507" s="602"/>
      <c r="H507" s="602"/>
      <c r="I507" s="602"/>
      <c r="J507" s="602"/>
      <c r="K507" s="602"/>
      <c r="L507" s="603"/>
      <c r="M507" s="603"/>
      <c r="N507" s="603"/>
      <c r="O507" s="603"/>
      <c r="P507" s="603"/>
      <c r="Q507" s="595"/>
      <c r="R507" s="595"/>
      <c r="S507" s="595"/>
      <c r="T507" s="595"/>
      <c r="U507" s="595"/>
      <c r="V507" s="595"/>
      <c r="W507" s="594"/>
      <c r="X507" s="594"/>
      <c r="Y507" s="595"/>
      <c r="Z507" s="595"/>
      <c r="AA507" s="595"/>
      <c r="AB507" s="595"/>
      <c r="AC507" s="595"/>
    </row>
    <row r="508" spans="1:29" ht="12.75" customHeight="1">
      <c r="A508" s="601"/>
      <c r="B508" s="602"/>
      <c r="C508" s="602"/>
      <c r="D508" s="602"/>
      <c r="E508" s="602"/>
      <c r="F508" s="602"/>
      <c r="G508" s="602"/>
      <c r="H508" s="602"/>
      <c r="I508" s="602"/>
      <c r="J508" s="602"/>
      <c r="K508" s="602"/>
      <c r="L508" s="603"/>
      <c r="M508" s="603"/>
      <c r="N508" s="603"/>
      <c r="O508" s="603"/>
      <c r="P508" s="603"/>
      <c r="Q508" s="595"/>
      <c r="R508" s="595"/>
      <c r="S508" s="595"/>
      <c r="T508" s="595"/>
      <c r="U508" s="595"/>
      <c r="V508" s="595"/>
      <c r="W508" s="594"/>
      <c r="X508" s="594"/>
      <c r="Y508" s="595"/>
      <c r="Z508" s="595"/>
      <c r="AA508" s="595"/>
      <c r="AB508" s="595"/>
      <c r="AC508" s="595"/>
    </row>
    <row r="509" spans="1:29" ht="12.75" customHeight="1">
      <c r="A509" s="601"/>
      <c r="B509" s="602"/>
      <c r="C509" s="602"/>
      <c r="D509" s="602"/>
      <c r="E509" s="602"/>
      <c r="F509" s="602"/>
      <c r="G509" s="602"/>
      <c r="H509" s="602"/>
      <c r="I509" s="602"/>
      <c r="J509" s="602"/>
      <c r="K509" s="602"/>
      <c r="L509" s="603"/>
      <c r="M509" s="603"/>
      <c r="N509" s="603"/>
      <c r="O509" s="603"/>
      <c r="P509" s="603"/>
      <c r="Q509" s="595"/>
      <c r="R509" s="595"/>
      <c r="S509" s="595"/>
      <c r="T509" s="595"/>
      <c r="U509" s="595"/>
      <c r="V509" s="595"/>
      <c r="W509" s="594"/>
      <c r="X509" s="594"/>
      <c r="Y509" s="595"/>
      <c r="Z509" s="595"/>
      <c r="AA509" s="595"/>
      <c r="AB509" s="595"/>
      <c r="AC509" s="595"/>
    </row>
    <row r="510" spans="1:29" ht="12.75" customHeight="1">
      <c r="A510" s="601"/>
      <c r="B510" s="602"/>
      <c r="C510" s="602"/>
      <c r="D510" s="602"/>
      <c r="E510" s="602"/>
      <c r="F510" s="602"/>
      <c r="G510" s="602"/>
      <c r="H510" s="602"/>
      <c r="I510" s="602"/>
      <c r="J510" s="602"/>
      <c r="K510" s="602"/>
      <c r="L510" s="603"/>
      <c r="M510" s="603"/>
      <c r="N510" s="603"/>
      <c r="O510" s="603"/>
      <c r="P510" s="603"/>
      <c r="Q510" s="595"/>
      <c r="R510" s="595"/>
      <c r="S510" s="595"/>
      <c r="T510" s="595"/>
      <c r="U510" s="595"/>
      <c r="V510" s="595"/>
      <c r="W510" s="594"/>
      <c r="X510" s="594"/>
      <c r="Y510" s="595"/>
      <c r="Z510" s="595"/>
      <c r="AA510" s="595"/>
      <c r="AB510" s="595"/>
      <c r="AC510" s="595"/>
    </row>
    <row r="511" spans="1:29" ht="12.75" customHeight="1">
      <c r="A511" s="601"/>
      <c r="B511" s="602"/>
      <c r="C511" s="602"/>
      <c r="D511" s="602"/>
      <c r="E511" s="602"/>
      <c r="F511" s="602"/>
      <c r="G511" s="602"/>
      <c r="H511" s="602"/>
      <c r="I511" s="602"/>
      <c r="J511" s="602"/>
      <c r="K511" s="602"/>
      <c r="L511" s="603"/>
      <c r="M511" s="603"/>
      <c r="N511" s="603"/>
      <c r="O511" s="603"/>
      <c r="P511" s="603"/>
      <c r="Q511" s="595"/>
      <c r="R511" s="595"/>
      <c r="S511" s="595"/>
      <c r="T511" s="595"/>
      <c r="U511" s="595"/>
      <c r="V511" s="595"/>
      <c r="W511" s="594"/>
      <c r="X511" s="594"/>
      <c r="Y511" s="595"/>
      <c r="Z511" s="595"/>
      <c r="AA511" s="595"/>
      <c r="AB511" s="595"/>
      <c r="AC511" s="595"/>
    </row>
    <row r="512" spans="1:29" ht="12.75" customHeight="1">
      <c r="A512" s="601"/>
      <c r="B512" s="602"/>
      <c r="C512" s="602"/>
      <c r="D512" s="602"/>
      <c r="E512" s="602"/>
      <c r="F512" s="602"/>
      <c r="G512" s="602"/>
      <c r="H512" s="602"/>
      <c r="I512" s="602"/>
      <c r="J512" s="602"/>
      <c r="K512" s="602"/>
      <c r="L512" s="603"/>
      <c r="M512" s="603"/>
      <c r="N512" s="603"/>
      <c r="O512" s="603"/>
      <c r="P512" s="603"/>
      <c r="Q512" s="595"/>
      <c r="R512" s="595"/>
      <c r="S512" s="595"/>
      <c r="T512" s="595"/>
      <c r="U512" s="595"/>
      <c r="V512" s="595"/>
      <c r="W512" s="594"/>
      <c r="X512" s="594"/>
      <c r="Y512" s="595"/>
      <c r="Z512" s="595"/>
      <c r="AA512" s="595"/>
      <c r="AB512" s="595"/>
      <c r="AC512" s="595"/>
    </row>
    <row r="513" spans="1:29" ht="12.75" customHeight="1">
      <c r="A513" s="601"/>
      <c r="B513" s="602"/>
      <c r="C513" s="602"/>
      <c r="D513" s="602"/>
      <c r="E513" s="602"/>
      <c r="F513" s="602"/>
      <c r="G513" s="602"/>
      <c r="H513" s="602"/>
      <c r="I513" s="602"/>
      <c r="J513" s="602"/>
      <c r="K513" s="602"/>
      <c r="L513" s="603"/>
      <c r="M513" s="603"/>
      <c r="N513" s="603"/>
      <c r="O513" s="603"/>
      <c r="P513" s="603"/>
      <c r="Q513" s="595"/>
      <c r="R513" s="595"/>
      <c r="S513" s="595"/>
      <c r="T513" s="595"/>
      <c r="U513" s="595"/>
      <c r="V513" s="595"/>
      <c r="W513" s="594"/>
      <c r="X513" s="594"/>
      <c r="Y513" s="595"/>
      <c r="Z513" s="595"/>
      <c r="AA513" s="595"/>
      <c r="AB513" s="595"/>
      <c r="AC513" s="595"/>
    </row>
    <row r="514" spans="1:29" ht="12.75" customHeight="1">
      <c r="A514" s="601"/>
      <c r="B514" s="602"/>
      <c r="C514" s="602"/>
      <c r="D514" s="602"/>
      <c r="E514" s="602"/>
      <c r="F514" s="602"/>
      <c r="G514" s="602"/>
      <c r="H514" s="602"/>
      <c r="I514" s="602"/>
      <c r="J514" s="602"/>
      <c r="K514" s="602"/>
      <c r="L514" s="603"/>
      <c r="M514" s="603"/>
      <c r="N514" s="603"/>
      <c r="O514" s="603"/>
      <c r="P514" s="603"/>
      <c r="Q514" s="595"/>
      <c r="R514" s="595"/>
      <c r="S514" s="595"/>
      <c r="T514" s="595"/>
      <c r="U514" s="595"/>
      <c r="V514" s="595"/>
      <c r="W514" s="594"/>
      <c r="X514" s="594"/>
      <c r="Y514" s="595"/>
      <c r="Z514" s="595"/>
      <c r="AA514" s="595"/>
      <c r="AB514" s="595"/>
      <c r="AC514" s="595"/>
    </row>
    <row r="515" spans="1:29" ht="12.75" customHeight="1">
      <c r="A515" s="601"/>
      <c r="B515" s="602"/>
      <c r="C515" s="602"/>
      <c r="D515" s="602"/>
      <c r="E515" s="602"/>
      <c r="F515" s="602"/>
      <c r="G515" s="602"/>
      <c r="H515" s="602"/>
      <c r="I515" s="602"/>
      <c r="J515" s="602"/>
      <c r="K515" s="602"/>
      <c r="L515" s="603"/>
      <c r="M515" s="603"/>
      <c r="N515" s="603"/>
      <c r="O515" s="603"/>
      <c r="P515" s="603"/>
      <c r="Q515" s="595"/>
      <c r="R515" s="595"/>
      <c r="S515" s="595"/>
      <c r="T515" s="595"/>
      <c r="U515" s="595"/>
      <c r="V515" s="595"/>
      <c r="W515" s="594"/>
      <c r="X515" s="594"/>
      <c r="Y515" s="595"/>
      <c r="Z515" s="595"/>
      <c r="AA515" s="595"/>
      <c r="AB515" s="595"/>
      <c r="AC515" s="595"/>
    </row>
    <row r="516" spans="1:29" ht="12.75" customHeight="1">
      <c r="A516" s="601"/>
      <c r="B516" s="602"/>
      <c r="C516" s="602"/>
      <c r="D516" s="602"/>
      <c r="E516" s="602"/>
      <c r="F516" s="602"/>
      <c r="G516" s="602"/>
      <c r="H516" s="602"/>
      <c r="I516" s="602"/>
      <c r="J516" s="602"/>
      <c r="K516" s="602"/>
      <c r="L516" s="603"/>
      <c r="M516" s="603"/>
      <c r="N516" s="603"/>
      <c r="O516" s="603"/>
      <c r="P516" s="603"/>
      <c r="Q516" s="595"/>
      <c r="R516" s="595"/>
      <c r="S516" s="595"/>
      <c r="T516" s="595"/>
      <c r="U516" s="595"/>
      <c r="V516" s="595"/>
      <c r="W516" s="594"/>
      <c r="X516" s="594"/>
      <c r="Y516" s="595"/>
      <c r="Z516" s="595"/>
      <c r="AA516" s="595"/>
      <c r="AB516" s="595"/>
      <c r="AC516" s="595"/>
    </row>
    <row r="517" spans="1:29" ht="12.75" customHeight="1">
      <c r="A517" s="601"/>
      <c r="B517" s="602"/>
      <c r="C517" s="602"/>
      <c r="D517" s="602"/>
      <c r="E517" s="602"/>
      <c r="F517" s="602"/>
      <c r="G517" s="602"/>
      <c r="H517" s="602"/>
      <c r="I517" s="602"/>
      <c r="J517" s="602"/>
      <c r="K517" s="602"/>
      <c r="L517" s="603"/>
      <c r="M517" s="603"/>
      <c r="N517" s="603"/>
      <c r="O517" s="603"/>
      <c r="P517" s="603"/>
      <c r="Q517" s="595"/>
      <c r="R517" s="595"/>
      <c r="S517" s="595"/>
      <c r="T517" s="595"/>
      <c r="U517" s="595"/>
      <c r="V517" s="595"/>
      <c r="W517" s="594"/>
      <c r="X517" s="594"/>
      <c r="Y517" s="595"/>
      <c r="Z517" s="595"/>
      <c r="AA517" s="595"/>
      <c r="AB517" s="595"/>
      <c r="AC517" s="595"/>
    </row>
    <row r="518" spans="1:29" ht="12.75" customHeight="1">
      <c r="A518" s="601"/>
      <c r="B518" s="602"/>
      <c r="C518" s="602"/>
      <c r="D518" s="602"/>
      <c r="E518" s="602"/>
      <c r="F518" s="602"/>
      <c r="G518" s="602"/>
      <c r="H518" s="602"/>
      <c r="I518" s="602"/>
      <c r="J518" s="602"/>
      <c r="K518" s="602"/>
      <c r="L518" s="603"/>
      <c r="M518" s="603"/>
      <c r="N518" s="603"/>
      <c r="O518" s="603"/>
      <c r="P518" s="603"/>
      <c r="Q518" s="595"/>
      <c r="R518" s="595"/>
      <c r="S518" s="595"/>
      <c r="T518" s="595"/>
      <c r="U518" s="595"/>
      <c r="V518" s="595"/>
      <c r="W518" s="594"/>
      <c r="X518" s="594"/>
      <c r="Y518" s="595"/>
      <c r="Z518" s="595"/>
      <c r="AA518" s="595"/>
      <c r="AB518" s="595"/>
      <c r="AC518" s="595"/>
    </row>
    <row r="519" spans="1:29" ht="12.75" customHeight="1">
      <c r="A519" s="601"/>
      <c r="B519" s="602"/>
      <c r="C519" s="602"/>
      <c r="D519" s="602"/>
      <c r="E519" s="602"/>
      <c r="F519" s="602"/>
      <c r="G519" s="602"/>
      <c r="H519" s="602"/>
      <c r="I519" s="602"/>
      <c r="J519" s="602"/>
      <c r="K519" s="602"/>
      <c r="L519" s="603"/>
      <c r="M519" s="603"/>
      <c r="N519" s="603"/>
      <c r="O519" s="603"/>
      <c r="P519" s="603"/>
      <c r="Q519" s="595"/>
      <c r="R519" s="595"/>
      <c r="S519" s="595"/>
      <c r="T519" s="595"/>
      <c r="U519" s="595"/>
      <c r="V519" s="595"/>
      <c r="W519" s="594"/>
      <c r="X519" s="594"/>
      <c r="Y519" s="595"/>
      <c r="Z519" s="595"/>
      <c r="AA519" s="595"/>
      <c r="AB519" s="595"/>
      <c r="AC519" s="595"/>
    </row>
    <row r="520" spans="1:29" ht="12.75" customHeight="1">
      <c r="A520" s="601"/>
      <c r="B520" s="602"/>
      <c r="C520" s="602"/>
      <c r="D520" s="602"/>
      <c r="E520" s="602"/>
      <c r="F520" s="602"/>
      <c r="G520" s="602"/>
      <c r="H520" s="602"/>
      <c r="I520" s="602"/>
      <c r="J520" s="602"/>
      <c r="K520" s="602"/>
      <c r="L520" s="603"/>
      <c r="M520" s="603"/>
      <c r="N520" s="603"/>
      <c r="O520" s="603"/>
      <c r="P520" s="603"/>
      <c r="Q520" s="595"/>
      <c r="R520" s="595"/>
      <c r="S520" s="595"/>
      <c r="T520" s="595"/>
      <c r="U520" s="595"/>
      <c r="V520" s="595"/>
      <c r="W520" s="594"/>
      <c r="X520" s="594"/>
      <c r="Y520" s="595"/>
      <c r="Z520" s="595"/>
      <c r="AA520" s="595"/>
      <c r="AB520" s="595"/>
      <c r="AC520" s="595"/>
    </row>
    <row r="521" spans="1:29" ht="12.75" customHeight="1">
      <c r="A521" s="601"/>
      <c r="B521" s="602"/>
      <c r="C521" s="602"/>
      <c r="D521" s="602"/>
      <c r="E521" s="602"/>
      <c r="F521" s="602"/>
      <c r="G521" s="602"/>
      <c r="H521" s="602"/>
      <c r="I521" s="602"/>
      <c r="J521" s="602"/>
      <c r="K521" s="602"/>
      <c r="L521" s="603"/>
      <c r="M521" s="603"/>
      <c r="N521" s="603"/>
      <c r="O521" s="603"/>
      <c r="P521" s="603"/>
      <c r="Q521" s="595"/>
      <c r="R521" s="595"/>
      <c r="S521" s="595"/>
      <c r="T521" s="595"/>
      <c r="U521" s="595"/>
      <c r="V521" s="595"/>
      <c r="W521" s="594"/>
      <c r="X521" s="594"/>
      <c r="Y521" s="595"/>
      <c r="Z521" s="595"/>
      <c r="AA521" s="595"/>
      <c r="AB521" s="595"/>
      <c r="AC521" s="595"/>
    </row>
    <row r="522" spans="1:29" ht="12.75" customHeight="1">
      <c r="A522" s="601"/>
      <c r="B522" s="602"/>
      <c r="C522" s="602"/>
      <c r="D522" s="602"/>
      <c r="E522" s="602"/>
      <c r="F522" s="602"/>
      <c r="G522" s="602"/>
      <c r="H522" s="602"/>
      <c r="I522" s="602"/>
      <c r="J522" s="602"/>
      <c r="K522" s="602"/>
      <c r="L522" s="603"/>
      <c r="M522" s="603"/>
      <c r="N522" s="603"/>
      <c r="O522" s="603"/>
      <c r="P522" s="603"/>
      <c r="Q522" s="595"/>
      <c r="R522" s="595"/>
      <c r="S522" s="595"/>
      <c r="T522" s="595"/>
      <c r="U522" s="595"/>
      <c r="V522" s="595"/>
      <c r="W522" s="594"/>
      <c r="X522" s="594"/>
      <c r="Y522" s="595"/>
      <c r="Z522" s="595"/>
      <c r="AA522" s="595"/>
      <c r="AB522" s="595"/>
      <c r="AC522" s="595"/>
    </row>
    <row r="523" spans="1:29" ht="12.75" customHeight="1">
      <c r="A523" s="601"/>
      <c r="B523" s="602"/>
      <c r="C523" s="602"/>
      <c r="D523" s="602"/>
      <c r="E523" s="602"/>
      <c r="F523" s="602"/>
      <c r="G523" s="602"/>
      <c r="H523" s="602"/>
      <c r="I523" s="602"/>
      <c r="J523" s="602"/>
      <c r="K523" s="602"/>
      <c r="L523" s="603"/>
      <c r="M523" s="603"/>
      <c r="N523" s="603"/>
      <c r="O523" s="603"/>
      <c r="P523" s="603"/>
      <c r="Q523" s="595"/>
      <c r="R523" s="595"/>
      <c r="S523" s="595"/>
      <c r="T523" s="595"/>
      <c r="U523" s="595"/>
      <c r="V523" s="595"/>
      <c r="W523" s="594"/>
      <c r="X523" s="594"/>
      <c r="Y523" s="595"/>
      <c r="Z523" s="595"/>
      <c r="AA523" s="595"/>
      <c r="AB523" s="595"/>
      <c r="AC523" s="595"/>
    </row>
    <row r="524" spans="1:29" ht="12.75" customHeight="1">
      <c r="A524" s="601"/>
      <c r="B524" s="602"/>
      <c r="C524" s="602"/>
      <c r="D524" s="602"/>
      <c r="E524" s="602"/>
      <c r="F524" s="602"/>
      <c r="G524" s="602"/>
      <c r="H524" s="602"/>
      <c r="I524" s="602"/>
      <c r="J524" s="602"/>
      <c r="K524" s="602"/>
      <c r="L524" s="603"/>
      <c r="M524" s="603"/>
      <c r="N524" s="603"/>
      <c r="O524" s="603"/>
      <c r="P524" s="603"/>
      <c r="Q524" s="595"/>
      <c r="R524" s="595"/>
      <c r="S524" s="595"/>
      <c r="T524" s="595"/>
      <c r="U524" s="595"/>
      <c r="V524" s="595"/>
      <c r="W524" s="594"/>
      <c r="X524" s="594"/>
      <c r="Y524" s="595"/>
      <c r="Z524" s="595"/>
      <c r="AA524" s="595"/>
      <c r="AB524" s="595"/>
      <c r="AC524" s="595"/>
    </row>
    <row r="525" spans="1:29" ht="12.75" customHeight="1">
      <c r="A525" s="601"/>
      <c r="B525" s="602"/>
      <c r="C525" s="602"/>
      <c r="D525" s="602"/>
      <c r="E525" s="602"/>
      <c r="F525" s="602"/>
      <c r="G525" s="602"/>
      <c r="H525" s="602"/>
      <c r="I525" s="602"/>
      <c r="J525" s="602"/>
      <c r="K525" s="602"/>
      <c r="L525" s="603"/>
      <c r="M525" s="603"/>
      <c r="N525" s="603"/>
      <c r="O525" s="603"/>
      <c r="P525" s="603"/>
      <c r="Q525" s="595"/>
      <c r="R525" s="595"/>
      <c r="S525" s="595"/>
      <c r="T525" s="595"/>
      <c r="U525" s="595"/>
      <c r="V525" s="595"/>
      <c r="W525" s="594"/>
      <c r="X525" s="594"/>
      <c r="Y525" s="595"/>
      <c r="Z525" s="595"/>
      <c r="AA525" s="595"/>
      <c r="AB525" s="595"/>
      <c r="AC525" s="595"/>
    </row>
    <row r="526" spans="1:29" ht="12.75" customHeight="1">
      <c r="A526" s="601"/>
      <c r="B526" s="602"/>
      <c r="C526" s="602"/>
      <c r="D526" s="602"/>
      <c r="E526" s="602"/>
      <c r="F526" s="602"/>
      <c r="G526" s="602"/>
      <c r="H526" s="602"/>
      <c r="I526" s="602"/>
      <c r="J526" s="602"/>
      <c r="K526" s="602"/>
      <c r="L526" s="603"/>
      <c r="M526" s="603"/>
      <c r="N526" s="603"/>
      <c r="O526" s="603"/>
      <c r="P526" s="603"/>
      <c r="Q526" s="595"/>
      <c r="R526" s="595"/>
      <c r="S526" s="595"/>
      <c r="T526" s="595"/>
      <c r="U526" s="595"/>
      <c r="V526" s="595"/>
      <c r="W526" s="594"/>
      <c r="X526" s="594"/>
      <c r="Y526" s="595"/>
      <c r="Z526" s="595"/>
      <c r="AA526" s="595"/>
      <c r="AB526" s="595"/>
      <c r="AC526" s="595"/>
    </row>
    <row r="527" spans="1:29" ht="12.75" customHeight="1">
      <c r="A527" s="601"/>
      <c r="B527" s="602"/>
      <c r="C527" s="602"/>
      <c r="D527" s="602"/>
      <c r="E527" s="602"/>
      <c r="F527" s="602"/>
      <c r="G527" s="602"/>
      <c r="H527" s="602"/>
      <c r="I527" s="602"/>
      <c r="J527" s="602"/>
      <c r="K527" s="602"/>
      <c r="L527" s="603"/>
      <c r="M527" s="603"/>
      <c r="N527" s="603"/>
      <c r="O527" s="603"/>
      <c r="P527" s="603"/>
      <c r="Q527" s="595"/>
      <c r="R527" s="595"/>
      <c r="S527" s="595"/>
      <c r="T527" s="595"/>
      <c r="U527" s="595"/>
      <c r="V527" s="595"/>
      <c r="W527" s="594"/>
      <c r="X527" s="594"/>
      <c r="Y527" s="595"/>
      <c r="Z527" s="595"/>
      <c r="AA527" s="595"/>
      <c r="AB527" s="595"/>
      <c r="AC527" s="595"/>
    </row>
    <row r="528" spans="1:29" ht="12.75" customHeight="1">
      <c r="A528" s="601"/>
      <c r="B528" s="602"/>
      <c r="C528" s="602"/>
      <c r="D528" s="602"/>
      <c r="E528" s="602"/>
      <c r="F528" s="602"/>
      <c r="G528" s="602"/>
      <c r="H528" s="602"/>
      <c r="I528" s="602"/>
      <c r="J528" s="602"/>
      <c r="K528" s="602"/>
      <c r="L528" s="603"/>
      <c r="M528" s="603"/>
      <c r="N528" s="603"/>
      <c r="O528" s="603"/>
      <c r="P528" s="603"/>
      <c r="Q528" s="595"/>
      <c r="R528" s="595"/>
      <c r="S528" s="595"/>
      <c r="T528" s="595"/>
      <c r="U528" s="595"/>
      <c r="V528" s="595"/>
      <c r="W528" s="594"/>
      <c r="X528" s="594"/>
      <c r="Y528" s="595"/>
      <c r="Z528" s="595"/>
      <c r="AA528" s="595"/>
      <c r="AB528" s="595"/>
      <c r="AC528" s="595"/>
    </row>
    <row r="529" spans="1:29" ht="12.75" customHeight="1">
      <c r="A529" s="601"/>
      <c r="B529" s="602"/>
      <c r="C529" s="602"/>
      <c r="D529" s="602"/>
      <c r="E529" s="602"/>
      <c r="F529" s="602"/>
      <c r="G529" s="602"/>
      <c r="H529" s="602"/>
      <c r="I529" s="602"/>
      <c r="J529" s="602"/>
      <c r="K529" s="602"/>
      <c r="L529" s="603"/>
      <c r="M529" s="603"/>
      <c r="N529" s="603"/>
      <c r="O529" s="603"/>
      <c r="P529" s="603"/>
      <c r="Q529" s="595"/>
      <c r="R529" s="595"/>
      <c r="S529" s="595"/>
      <c r="T529" s="595"/>
      <c r="U529" s="595"/>
      <c r="V529" s="595"/>
      <c r="W529" s="594"/>
      <c r="X529" s="594"/>
      <c r="Y529" s="595"/>
      <c r="Z529" s="595"/>
      <c r="AA529" s="595"/>
      <c r="AB529" s="595"/>
      <c r="AC529" s="595"/>
    </row>
    <row r="530" spans="1:29" ht="12.75" customHeight="1">
      <c r="A530" s="601"/>
      <c r="B530" s="602"/>
      <c r="C530" s="602"/>
      <c r="D530" s="602"/>
      <c r="E530" s="602"/>
      <c r="F530" s="602"/>
      <c r="G530" s="602"/>
      <c r="H530" s="602"/>
      <c r="I530" s="602"/>
      <c r="J530" s="602"/>
      <c r="K530" s="602"/>
      <c r="L530" s="603"/>
      <c r="M530" s="603"/>
      <c r="N530" s="603"/>
      <c r="O530" s="603"/>
      <c r="P530" s="603"/>
      <c r="Q530" s="595"/>
      <c r="R530" s="595"/>
      <c r="S530" s="595"/>
      <c r="T530" s="595"/>
      <c r="U530" s="595"/>
      <c r="V530" s="595"/>
      <c r="W530" s="594"/>
      <c r="X530" s="594"/>
      <c r="Y530" s="595"/>
      <c r="Z530" s="595"/>
      <c r="AA530" s="595"/>
      <c r="AB530" s="595"/>
      <c r="AC530" s="595"/>
    </row>
    <row r="531" spans="1:29" ht="12.75" customHeight="1">
      <c r="A531" s="601"/>
      <c r="B531" s="602"/>
      <c r="C531" s="602"/>
      <c r="D531" s="602"/>
      <c r="E531" s="602"/>
      <c r="F531" s="602"/>
      <c r="G531" s="602"/>
      <c r="H531" s="602"/>
      <c r="I531" s="602"/>
      <c r="J531" s="602"/>
      <c r="K531" s="602"/>
      <c r="L531" s="603"/>
      <c r="M531" s="603"/>
      <c r="N531" s="603"/>
      <c r="O531" s="603"/>
      <c r="P531" s="603"/>
      <c r="Q531" s="595"/>
      <c r="R531" s="595"/>
      <c r="S531" s="595"/>
      <c r="T531" s="595"/>
      <c r="U531" s="595"/>
      <c r="V531" s="595"/>
      <c r="W531" s="594"/>
      <c r="X531" s="594"/>
      <c r="Y531" s="595"/>
      <c r="Z531" s="595"/>
      <c r="AA531" s="595"/>
      <c r="AB531" s="595"/>
      <c r="AC531" s="595"/>
    </row>
    <row r="532" spans="1:29" ht="12.75" customHeight="1">
      <c r="A532" s="601"/>
      <c r="B532" s="602"/>
      <c r="C532" s="602"/>
      <c r="D532" s="602"/>
      <c r="E532" s="602"/>
      <c r="F532" s="602"/>
      <c r="G532" s="602"/>
      <c r="H532" s="602"/>
      <c r="I532" s="602"/>
      <c r="J532" s="602"/>
      <c r="K532" s="602"/>
      <c r="L532" s="603"/>
      <c r="M532" s="603"/>
      <c r="N532" s="603"/>
      <c r="O532" s="603"/>
      <c r="P532" s="603"/>
      <c r="Q532" s="595"/>
      <c r="R532" s="595"/>
      <c r="S532" s="595"/>
      <c r="T532" s="595"/>
      <c r="U532" s="595"/>
      <c r="V532" s="595"/>
      <c r="W532" s="594"/>
      <c r="X532" s="594"/>
      <c r="Y532" s="595"/>
      <c r="Z532" s="595"/>
      <c r="AA532" s="595"/>
      <c r="AB532" s="595"/>
      <c r="AC532" s="595"/>
    </row>
    <row r="533" spans="1:29" ht="12.75" customHeight="1">
      <c r="A533" s="601"/>
      <c r="B533" s="602"/>
      <c r="C533" s="602"/>
      <c r="D533" s="602"/>
      <c r="E533" s="602"/>
      <c r="F533" s="602"/>
      <c r="G533" s="602"/>
      <c r="H533" s="602"/>
      <c r="I533" s="602"/>
      <c r="J533" s="602"/>
      <c r="K533" s="602"/>
      <c r="L533" s="603"/>
      <c r="M533" s="603"/>
      <c r="N533" s="603"/>
      <c r="O533" s="603"/>
      <c r="P533" s="603"/>
      <c r="Q533" s="595"/>
      <c r="R533" s="595"/>
      <c r="S533" s="595"/>
      <c r="T533" s="595"/>
      <c r="U533" s="595"/>
      <c r="V533" s="595"/>
      <c r="W533" s="594"/>
      <c r="X533" s="594"/>
      <c r="Y533" s="595"/>
      <c r="Z533" s="595"/>
      <c r="AA533" s="595"/>
      <c r="AB533" s="595"/>
      <c r="AC533" s="595"/>
    </row>
    <row r="534" spans="1:29" ht="12.75" customHeight="1">
      <c r="A534" s="601"/>
      <c r="B534" s="602"/>
      <c r="C534" s="602"/>
      <c r="D534" s="602"/>
      <c r="E534" s="602"/>
      <c r="F534" s="602"/>
      <c r="G534" s="602"/>
      <c r="H534" s="602"/>
      <c r="I534" s="602"/>
      <c r="J534" s="602"/>
      <c r="K534" s="602"/>
      <c r="L534" s="603"/>
      <c r="M534" s="603"/>
      <c r="N534" s="603"/>
      <c r="O534" s="603"/>
      <c r="P534" s="603"/>
      <c r="Q534" s="595"/>
      <c r="R534" s="595"/>
      <c r="S534" s="595"/>
      <c r="T534" s="595"/>
      <c r="U534" s="595"/>
      <c r="V534" s="595"/>
      <c r="W534" s="594"/>
      <c r="X534" s="594"/>
      <c r="Y534" s="595"/>
      <c r="Z534" s="595"/>
      <c r="AA534" s="595"/>
      <c r="AB534" s="595"/>
      <c r="AC534" s="595"/>
    </row>
    <row r="535" spans="1:29" ht="12.75" customHeight="1">
      <c r="A535" s="601"/>
      <c r="B535" s="602"/>
      <c r="C535" s="602"/>
      <c r="D535" s="602"/>
      <c r="E535" s="602"/>
      <c r="F535" s="602"/>
      <c r="G535" s="602"/>
      <c r="H535" s="602"/>
      <c r="I535" s="602"/>
      <c r="J535" s="602"/>
      <c r="K535" s="602"/>
      <c r="L535" s="603"/>
      <c r="M535" s="603"/>
      <c r="N535" s="603"/>
      <c r="O535" s="603"/>
      <c r="P535" s="603"/>
      <c r="Q535" s="595"/>
      <c r="R535" s="595"/>
      <c r="S535" s="595"/>
      <c r="T535" s="595"/>
      <c r="U535" s="595"/>
      <c r="V535" s="595"/>
      <c r="W535" s="594"/>
      <c r="X535" s="594"/>
      <c r="Y535" s="595"/>
      <c r="Z535" s="595"/>
      <c r="AA535" s="595"/>
      <c r="AB535" s="595"/>
      <c r="AC535" s="595"/>
    </row>
    <row r="536" spans="1:29" ht="12.75" customHeight="1">
      <c r="A536" s="601"/>
      <c r="B536" s="602"/>
      <c r="C536" s="602"/>
      <c r="D536" s="602"/>
      <c r="E536" s="602"/>
      <c r="F536" s="602"/>
      <c r="G536" s="602"/>
      <c r="H536" s="602"/>
      <c r="I536" s="602"/>
      <c r="J536" s="602"/>
      <c r="K536" s="602"/>
      <c r="L536" s="603"/>
      <c r="M536" s="603"/>
      <c r="N536" s="603"/>
      <c r="O536" s="603"/>
      <c r="P536" s="603"/>
      <c r="Q536" s="595"/>
      <c r="R536" s="595"/>
      <c r="S536" s="595"/>
      <c r="T536" s="595"/>
      <c r="U536" s="595"/>
      <c r="V536" s="595"/>
      <c r="W536" s="594"/>
      <c r="X536" s="594"/>
      <c r="Y536" s="595"/>
      <c r="Z536" s="595"/>
      <c r="AA536" s="595"/>
      <c r="AB536" s="595"/>
      <c r="AC536" s="595"/>
    </row>
    <row r="537" spans="1:29" ht="12.75" customHeight="1">
      <c r="A537" s="601"/>
      <c r="B537" s="602"/>
      <c r="C537" s="602"/>
      <c r="D537" s="602"/>
      <c r="E537" s="602"/>
      <c r="F537" s="602"/>
      <c r="G537" s="602"/>
      <c r="H537" s="602"/>
      <c r="I537" s="602"/>
      <c r="J537" s="602"/>
      <c r="K537" s="602"/>
      <c r="L537" s="603"/>
      <c r="M537" s="603"/>
      <c r="N537" s="603"/>
      <c r="O537" s="603"/>
      <c r="P537" s="603"/>
      <c r="Q537" s="595"/>
      <c r="R537" s="595"/>
      <c r="S537" s="595"/>
      <c r="T537" s="595"/>
      <c r="U537" s="595"/>
      <c r="V537" s="595"/>
      <c r="W537" s="594"/>
      <c r="X537" s="594"/>
      <c r="Y537" s="595"/>
      <c r="Z537" s="595"/>
      <c r="AA537" s="595"/>
      <c r="AB537" s="595"/>
      <c r="AC537" s="595"/>
    </row>
    <row r="538" spans="1:29" ht="12.75" customHeight="1">
      <c r="A538" s="601"/>
      <c r="B538" s="602"/>
      <c r="C538" s="602"/>
      <c r="D538" s="602"/>
      <c r="E538" s="602"/>
      <c r="F538" s="602"/>
      <c r="G538" s="602"/>
      <c r="H538" s="602"/>
      <c r="I538" s="602"/>
      <c r="J538" s="602"/>
      <c r="K538" s="602"/>
      <c r="L538" s="603"/>
      <c r="M538" s="603"/>
      <c r="N538" s="603"/>
      <c r="O538" s="603"/>
      <c r="P538" s="603"/>
      <c r="Q538" s="595"/>
      <c r="R538" s="595"/>
      <c r="S538" s="595"/>
      <c r="T538" s="595"/>
      <c r="U538" s="595"/>
      <c r="V538" s="595"/>
      <c r="W538" s="594"/>
      <c r="X538" s="594"/>
      <c r="Y538" s="595"/>
      <c r="Z538" s="595"/>
      <c r="AA538" s="595"/>
      <c r="AB538" s="595"/>
      <c r="AC538" s="595"/>
    </row>
    <row r="539" spans="1:29" ht="12.75" customHeight="1">
      <c r="A539" s="601"/>
      <c r="B539" s="602"/>
      <c r="C539" s="602"/>
      <c r="D539" s="602"/>
      <c r="E539" s="602"/>
      <c r="F539" s="602"/>
      <c r="G539" s="602"/>
      <c r="H539" s="602"/>
      <c r="I539" s="602"/>
      <c r="J539" s="602"/>
      <c r="K539" s="602"/>
      <c r="L539" s="603"/>
      <c r="M539" s="603"/>
      <c r="N539" s="603"/>
      <c r="O539" s="603"/>
      <c r="P539" s="603"/>
      <c r="Q539" s="595"/>
      <c r="R539" s="595"/>
      <c r="S539" s="595"/>
      <c r="T539" s="595"/>
      <c r="U539" s="595"/>
      <c r="V539" s="595"/>
      <c r="W539" s="594"/>
      <c r="X539" s="594"/>
      <c r="Y539" s="595"/>
      <c r="Z539" s="595"/>
      <c r="AA539" s="595"/>
      <c r="AB539" s="595"/>
      <c r="AC539" s="595"/>
    </row>
    <row r="540" spans="1:29" ht="12.75" customHeight="1">
      <c r="A540" s="601"/>
      <c r="B540" s="602"/>
      <c r="C540" s="602"/>
      <c r="D540" s="602"/>
      <c r="E540" s="602"/>
      <c r="F540" s="602"/>
      <c r="G540" s="602"/>
      <c r="H540" s="602"/>
      <c r="I540" s="602"/>
      <c r="J540" s="602"/>
      <c r="K540" s="602"/>
      <c r="L540" s="603"/>
      <c r="M540" s="603"/>
      <c r="N540" s="603"/>
      <c r="O540" s="603"/>
      <c r="P540" s="603"/>
      <c r="Q540" s="595"/>
      <c r="R540" s="595"/>
      <c r="S540" s="595"/>
      <c r="T540" s="595"/>
      <c r="U540" s="595"/>
      <c r="V540" s="595"/>
      <c r="W540" s="594"/>
      <c r="X540" s="594"/>
      <c r="Y540" s="595"/>
      <c r="Z540" s="595"/>
      <c r="AA540" s="595"/>
      <c r="AB540" s="595"/>
      <c r="AC540" s="595"/>
    </row>
    <row r="541" spans="1:29" ht="12.75" customHeight="1">
      <c r="A541" s="601"/>
      <c r="B541" s="602"/>
      <c r="C541" s="602"/>
      <c r="D541" s="602"/>
      <c r="E541" s="602"/>
      <c r="F541" s="602"/>
      <c r="G541" s="602"/>
      <c r="H541" s="602"/>
      <c r="I541" s="602"/>
      <c r="J541" s="602"/>
      <c r="K541" s="602"/>
      <c r="L541" s="603"/>
      <c r="M541" s="603"/>
      <c r="N541" s="603"/>
      <c r="O541" s="603"/>
      <c r="P541" s="603"/>
      <c r="Q541" s="595"/>
      <c r="R541" s="595"/>
      <c r="S541" s="595"/>
      <c r="T541" s="595"/>
      <c r="U541" s="595"/>
      <c r="V541" s="595"/>
      <c r="W541" s="594"/>
      <c r="X541" s="594"/>
      <c r="Y541" s="595"/>
      <c r="Z541" s="595"/>
      <c r="AA541" s="595"/>
      <c r="AB541" s="595"/>
      <c r="AC541" s="595"/>
    </row>
    <row r="542" spans="1:29" ht="12.75" customHeight="1">
      <c r="A542" s="601"/>
      <c r="B542" s="602"/>
      <c r="C542" s="602"/>
      <c r="D542" s="602"/>
      <c r="E542" s="602"/>
      <c r="F542" s="602"/>
      <c r="G542" s="602"/>
      <c r="H542" s="602"/>
      <c r="I542" s="602"/>
      <c r="J542" s="602"/>
      <c r="K542" s="602"/>
      <c r="L542" s="603"/>
      <c r="M542" s="603"/>
      <c r="N542" s="603"/>
      <c r="O542" s="603"/>
      <c r="P542" s="603"/>
      <c r="Q542" s="595"/>
      <c r="R542" s="595"/>
      <c r="S542" s="595"/>
      <c r="T542" s="595"/>
      <c r="U542" s="595"/>
      <c r="V542" s="595"/>
      <c r="W542" s="594"/>
      <c r="X542" s="594"/>
      <c r="Y542" s="595"/>
      <c r="Z542" s="595"/>
      <c r="AA542" s="595"/>
      <c r="AB542" s="595"/>
      <c r="AC542" s="595"/>
    </row>
    <row r="543" spans="1:29" ht="12.75" customHeight="1">
      <c r="A543" s="601"/>
      <c r="B543" s="602"/>
      <c r="C543" s="602"/>
      <c r="D543" s="602"/>
      <c r="E543" s="602"/>
      <c r="F543" s="602"/>
      <c r="G543" s="602"/>
      <c r="H543" s="602"/>
      <c r="I543" s="602"/>
      <c r="J543" s="602"/>
      <c r="K543" s="602"/>
      <c r="L543" s="603"/>
      <c r="M543" s="603"/>
      <c r="N543" s="603"/>
      <c r="O543" s="603"/>
      <c r="P543" s="603"/>
      <c r="Q543" s="595"/>
      <c r="R543" s="595"/>
      <c r="S543" s="595"/>
      <c r="T543" s="595"/>
      <c r="U543" s="595"/>
      <c r="V543" s="595"/>
      <c r="W543" s="594"/>
      <c r="X543" s="594"/>
      <c r="Y543" s="595"/>
      <c r="Z543" s="595"/>
      <c r="AA543" s="595"/>
      <c r="AB543" s="595"/>
      <c r="AC543" s="595"/>
    </row>
    <row r="544" spans="1:29" ht="12.75" customHeight="1">
      <c r="A544" s="601"/>
      <c r="B544" s="602"/>
      <c r="C544" s="602"/>
      <c r="D544" s="602"/>
      <c r="E544" s="602"/>
      <c r="F544" s="602"/>
      <c r="G544" s="602"/>
      <c r="H544" s="602"/>
      <c r="I544" s="602"/>
      <c r="J544" s="602"/>
      <c r="K544" s="602"/>
      <c r="L544" s="603"/>
      <c r="M544" s="603"/>
      <c r="N544" s="603"/>
      <c r="O544" s="603"/>
      <c r="P544" s="603"/>
      <c r="Q544" s="595"/>
      <c r="R544" s="595"/>
      <c r="S544" s="595"/>
      <c r="T544" s="595"/>
      <c r="U544" s="595"/>
      <c r="V544" s="595"/>
      <c r="W544" s="594"/>
      <c r="X544" s="594"/>
      <c r="Y544" s="595"/>
      <c r="Z544" s="595"/>
      <c r="AA544" s="595"/>
      <c r="AB544" s="595"/>
      <c r="AC544" s="595"/>
    </row>
    <row r="545" spans="1:29" ht="12.75" customHeight="1">
      <c r="A545" s="601"/>
      <c r="B545" s="602"/>
      <c r="C545" s="602"/>
      <c r="D545" s="602"/>
      <c r="E545" s="602"/>
      <c r="F545" s="602"/>
      <c r="G545" s="602"/>
      <c r="H545" s="602"/>
      <c r="I545" s="602"/>
      <c r="J545" s="602"/>
      <c r="K545" s="602"/>
      <c r="L545" s="603"/>
      <c r="M545" s="603"/>
      <c r="N545" s="603"/>
      <c r="O545" s="603"/>
      <c r="P545" s="603"/>
      <c r="Q545" s="595"/>
      <c r="R545" s="595"/>
      <c r="S545" s="595"/>
      <c r="T545" s="595"/>
      <c r="U545" s="595"/>
      <c r="V545" s="595"/>
      <c r="W545" s="594"/>
      <c r="X545" s="594"/>
      <c r="Y545" s="595"/>
      <c r="Z545" s="595"/>
      <c r="AA545" s="595"/>
      <c r="AB545" s="595"/>
      <c r="AC545" s="595"/>
    </row>
    <row r="546" spans="1:29" ht="12.75" customHeight="1">
      <c r="A546" s="601"/>
      <c r="B546" s="602"/>
      <c r="C546" s="602"/>
      <c r="D546" s="602"/>
      <c r="E546" s="602"/>
      <c r="F546" s="602"/>
      <c r="G546" s="602"/>
      <c r="H546" s="602"/>
      <c r="I546" s="602"/>
      <c r="J546" s="602"/>
      <c r="K546" s="602"/>
      <c r="L546" s="603"/>
      <c r="M546" s="603"/>
      <c r="N546" s="603"/>
      <c r="O546" s="603"/>
      <c r="P546" s="603"/>
      <c r="Q546" s="595"/>
      <c r="R546" s="595"/>
      <c r="S546" s="595"/>
      <c r="T546" s="595"/>
      <c r="U546" s="595"/>
      <c r="V546" s="595"/>
      <c r="W546" s="594"/>
      <c r="X546" s="594"/>
      <c r="Y546" s="595"/>
      <c r="Z546" s="595"/>
      <c r="AA546" s="595"/>
      <c r="AB546" s="595"/>
      <c r="AC546" s="595"/>
    </row>
    <row r="547" spans="1:29" ht="12.75" customHeight="1">
      <c r="A547" s="601"/>
      <c r="B547" s="602"/>
      <c r="C547" s="602"/>
      <c r="D547" s="602"/>
      <c r="E547" s="602"/>
      <c r="F547" s="602"/>
      <c r="G547" s="602"/>
      <c r="H547" s="602"/>
      <c r="I547" s="602"/>
      <c r="J547" s="602"/>
      <c r="K547" s="602"/>
      <c r="L547" s="603"/>
      <c r="M547" s="603"/>
      <c r="N547" s="603"/>
      <c r="O547" s="603"/>
      <c r="P547" s="603"/>
      <c r="Q547" s="595"/>
      <c r="R547" s="595"/>
      <c r="S547" s="595"/>
      <c r="T547" s="595"/>
      <c r="U547" s="595"/>
      <c r="V547" s="595"/>
      <c r="W547" s="594"/>
      <c r="X547" s="594"/>
      <c r="Y547" s="595"/>
      <c r="Z547" s="595"/>
      <c r="AA547" s="595"/>
      <c r="AB547" s="595"/>
      <c r="AC547" s="595"/>
    </row>
    <row r="548" spans="1:29" ht="12.75" customHeight="1">
      <c r="A548" s="601"/>
      <c r="B548" s="602"/>
      <c r="C548" s="602"/>
      <c r="D548" s="602"/>
      <c r="E548" s="602"/>
      <c r="F548" s="602"/>
      <c r="G548" s="602"/>
      <c r="H548" s="602"/>
      <c r="I548" s="602"/>
      <c r="J548" s="602"/>
      <c r="K548" s="602"/>
      <c r="L548" s="603"/>
      <c r="M548" s="603"/>
      <c r="N548" s="603"/>
      <c r="O548" s="603"/>
      <c r="P548" s="603"/>
      <c r="Q548" s="595"/>
      <c r="R548" s="595"/>
      <c r="S548" s="595"/>
      <c r="T548" s="595"/>
      <c r="U548" s="595"/>
      <c r="V548" s="595"/>
      <c r="W548" s="594"/>
      <c r="X548" s="594"/>
      <c r="Y548" s="595"/>
      <c r="Z548" s="595"/>
      <c r="AA548" s="595"/>
      <c r="AB548" s="595"/>
      <c r="AC548" s="595"/>
    </row>
    <row r="549" spans="1:29" ht="12.75" customHeight="1">
      <c r="A549" s="601"/>
      <c r="B549" s="602"/>
      <c r="C549" s="602"/>
      <c r="D549" s="602"/>
      <c r="E549" s="602"/>
      <c r="F549" s="602"/>
      <c r="G549" s="602"/>
      <c r="H549" s="602"/>
      <c r="I549" s="602"/>
      <c r="J549" s="602"/>
      <c r="K549" s="602"/>
      <c r="L549" s="603"/>
      <c r="M549" s="603"/>
      <c r="N549" s="603"/>
      <c r="O549" s="603"/>
      <c r="P549" s="603"/>
      <c r="Q549" s="595"/>
      <c r="R549" s="595"/>
      <c r="S549" s="595"/>
      <c r="T549" s="595"/>
      <c r="U549" s="595"/>
      <c r="V549" s="595"/>
      <c r="W549" s="594"/>
      <c r="X549" s="594"/>
      <c r="Y549" s="595"/>
      <c r="Z549" s="595"/>
      <c r="AA549" s="595"/>
      <c r="AB549" s="595"/>
      <c r="AC549" s="595"/>
    </row>
    <row r="550" spans="1:29" ht="12.75" customHeight="1">
      <c r="A550" s="601"/>
      <c r="B550" s="602"/>
      <c r="C550" s="602"/>
      <c r="D550" s="602"/>
      <c r="E550" s="602"/>
      <c r="F550" s="602"/>
      <c r="G550" s="602"/>
      <c r="H550" s="602"/>
      <c r="I550" s="602"/>
      <c r="J550" s="602"/>
      <c r="K550" s="602"/>
      <c r="L550" s="603"/>
      <c r="M550" s="603"/>
      <c r="N550" s="603"/>
      <c r="O550" s="603"/>
      <c r="P550" s="603"/>
      <c r="Q550" s="595"/>
      <c r="R550" s="595"/>
      <c r="S550" s="595"/>
      <c r="T550" s="595"/>
      <c r="U550" s="595"/>
      <c r="V550" s="595"/>
      <c r="W550" s="594"/>
      <c r="X550" s="594"/>
      <c r="Y550" s="595"/>
      <c r="Z550" s="595"/>
      <c r="AA550" s="595"/>
      <c r="AB550" s="595"/>
      <c r="AC550" s="595"/>
    </row>
    <row r="551" spans="1:29" ht="12.75" customHeight="1">
      <c r="A551" s="601"/>
      <c r="B551" s="602"/>
      <c r="C551" s="602"/>
      <c r="D551" s="602"/>
      <c r="E551" s="602"/>
      <c r="F551" s="602"/>
      <c r="G551" s="602"/>
      <c r="H551" s="602"/>
      <c r="I551" s="602"/>
      <c r="J551" s="602"/>
      <c r="K551" s="602"/>
      <c r="L551" s="603"/>
      <c r="M551" s="603"/>
      <c r="N551" s="603"/>
      <c r="O551" s="603"/>
      <c r="P551" s="603"/>
      <c r="Q551" s="595"/>
      <c r="R551" s="595"/>
      <c r="S551" s="595"/>
      <c r="T551" s="595"/>
      <c r="U551" s="595"/>
      <c r="V551" s="595"/>
      <c r="W551" s="594"/>
      <c r="X551" s="594"/>
      <c r="Y551" s="595"/>
      <c r="Z551" s="595"/>
      <c r="AA551" s="595"/>
      <c r="AB551" s="595"/>
      <c r="AC551" s="595"/>
    </row>
    <row r="552" spans="1:29" ht="12.75" customHeight="1">
      <c r="A552" s="601"/>
      <c r="B552" s="602"/>
      <c r="C552" s="602"/>
      <c r="D552" s="602"/>
      <c r="E552" s="602"/>
      <c r="F552" s="602"/>
      <c r="G552" s="602"/>
      <c r="H552" s="602"/>
      <c r="I552" s="602"/>
      <c r="J552" s="602"/>
      <c r="K552" s="602"/>
      <c r="L552" s="603"/>
      <c r="M552" s="603"/>
      <c r="N552" s="603"/>
      <c r="O552" s="603"/>
      <c r="P552" s="603"/>
      <c r="Q552" s="595"/>
      <c r="R552" s="595"/>
      <c r="S552" s="595"/>
      <c r="T552" s="595"/>
      <c r="U552" s="595"/>
      <c r="V552" s="595"/>
      <c r="W552" s="594"/>
      <c r="X552" s="594"/>
      <c r="Y552" s="595"/>
      <c r="Z552" s="595"/>
      <c r="AA552" s="595"/>
      <c r="AB552" s="595"/>
      <c r="AC552" s="595"/>
    </row>
    <row r="553" spans="1:29" ht="12.75" customHeight="1">
      <c r="A553" s="601"/>
      <c r="B553" s="602"/>
      <c r="C553" s="602"/>
      <c r="D553" s="602"/>
      <c r="E553" s="602"/>
      <c r="F553" s="602"/>
      <c r="G553" s="602"/>
      <c r="H553" s="602"/>
      <c r="I553" s="602"/>
      <c r="J553" s="602"/>
      <c r="K553" s="602"/>
      <c r="L553" s="603"/>
      <c r="M553" s="603"/>
      <c r="N553" s="603"/>
      <c r="O553" s="603"/>
      <c r="P553" s="603"/>
      <c r="Q553" s="595"/>
      <c r="R553" s="595"/>
      <c r="S553" s="595"/>
      <c r="T553" s="595"/>
      <c r="U553" s="595"/>
      <c r="V553" s="595"/>
      <c r="W553" s="594"/>
      <c r="X553" s="594"/>
      <c r="Y553" s="595"/>
      <c r="Z553" s="595"/>
      <c r="AA553" s="595"/>
      <c r="AB553" s="595"/>
      <c r="AC553" s="595"/>
    </row>
    <row r="554" spans="1:29" ht="12.75" customHeight="1">
      <c r="A554" s="601"/>
      <c r="B554" s="602"/>
      <c r="C554" s="602"/>
      <c r="D554" s="602"/>
      <c r="E554" s="602"/>
      <c r="F554" s="602"/>
      <c r="G554" s="602"/>
      <c r="H554" s="602"/>
      <c r="I554" s="602"/>
      <c r="J554" s="602"/>
      <c r="K554" s="602"/>
      <c r="L554" s="603"/>
      <c r="M554" s="603"/>
      <c r="N554" s="603"/>
      <c r="O554" s="603"/>
      <c r="P554" s="603"/>
      <c r="Q554" s="595"/>
      <c r="R554" s="595"/>
      <c r="S554" s="595"/>
      <c r="T554" s="595"/>
      <c r="U554" s="595"/>
      <c r="V554" s="595"/>
      <c r="W554" s="594"/>
      <c r="X554" s="594"/>
      <c r="Y554" s="595"/>
      <c r="Z554" s="595"/>
      <c r="AA554" s="595"/>
      <c r="AB554" s="595"/>
      <c r="AC554" s="595"/>
    </row>
    <row r="555" spans="1:29" ht="12.75" customHeight="1">
      <c r="A555" s="601"/>
      <c r="B555" s="602"/>
      <c r="C555" s="602"/>
      <c r="D555" s="602"/>
      <c r="E555" s="602"/>
      <c r="F555" s="602"/>
      <c r="G555" s="602"/>
      <c r="H555" s="602"/>
      <c r="I555" s="602"/>
      <c r="J555" s="602"/>
      <c r="K555" s="602"/>
      <c r="L555" s="603"/>
      <c r="M555" s="603"/>
      <c r="N555" s="603"/>
      <c r="O555" s="603"/>
      <c r="P555" s="603"/>
      <c r="Q555" s="595"/>
      <c r="R555" s="595"/>
      <c r="S555" s="595"/>
      <c r="T555" s="595"/>
      <c r="U555" s="595"/>
      <c r="V555" s="595"/>
      <c r="W555" s="594"/>
      <c r="X555" s="594"/>
      <c r="Y555" s="595"/>
      <c r="Z555" s="595"/>
      <c r="AA555" s="595"/>
      <c r="AB555" s="595"/>
      <c r="AC555" s="595"/>
    </row>
    <row r="556" spans="1:29" ht="12.75" customHeight="1">
      <c r="A556" s="601"/>
      <c r="B556" s="602"/>
      <c r="C556" s="602"/>
      <c r="D556" s="602"/>
      <c r="E556" s="602"/>
      <c r="F556" s="602"/>
      <c r="G556" s="602"/>
      <c r="H556" s="602"/>
      <c r="I556" s="602"/>
      <c r="J556" s="602"/>
      <c r="K556" s="602"/>
      <c r="L556" s="603"/>
      <c r="M556" s="603"/>
      <c r="N556" s="603"/>
      <c r="O556" s="603"/>
      <c r="P556" s="603"/>
      <c r="Q556" s="595"/>
      <c r="R556" s="595"/>
      <c r="S556" s="595"/>
      <c r="T556" s="595"/>
      <c r="U556" s="595"/>
      <c r="V556" s="595"/>
      <c r="W556" s="594"/>
      <c r="X556" s="594"/>
      <c r="Y556" s="595"/>
      <c r="Z556" s="595"/>
      <c r="AA556" s="595"/>
      <c r="AB556" s="595"/>
      <c r="AC556" s="595"/>
    </row>
    <row r="557" spans="1:29" ht="12.75" customHeight="1">
      <c r="A557" s="601"/>
      <c r="B557" s="602"/>
      <c r="C557" s="602"/>
      <c r="D557" s="602"/>
      <c r="E557" s="602"/>
      <c r="F557" s="602"/>
      <c r="G557" s="602"/>
      <c r="H557" s="602"/>
      <c r="I557" s="602"/>
      <c r="J557" s="602"/>
      <c r="K557" s="602"/>
      <c r="L557" s="603"/>
      <c r="M557" s="603"/>
      <c r="N557" s="603"/>
      <c r="O557" s="603"/>
      <c r="P557" s="603"/>
      <c r="Q557" s="595"/>
      <c r="R557" s="595"/>
      <c r="S557" s="595"/>
      <c r="T557" s="595"/>
      <c r="U557" s="595"/>
      <c r="V557" s="595"/>
      <c r="W557" s="594"/>
      <c r="X557" s="594"/>
      <c r="Y557" s="595"/>
      <c r="Z557" s="595"/>
      <c r="AA557" s="595"/>
      <c r="AB557" s="595"/>
      <c r="AC557" s="595"/>
    </row>
    <row r="558" spans="1:29" ht="12.75" customHeight="1">
      <c r="A558" s="601"/>
      <c r="B558" s="602"/>
      <c r="C558" s="602"/>
      <c r="D558" s="602"/>
      <c r="E558" s="602"/>
      <c r="F558" s="602"/>
      <c r="G558" s="602"/>
      <c r="H558" s="602"/>
      <c r="I558" s="602"/>
      <c r="J558" s="602"/>
      <c r="K558" s="602"/>
      <c r="L558" s="603"/>
      <c r="M558" s="603"/>
      <c r="N558" s="603"/>
      <c r="O558" s="603"/>
      <c r="P558" s="603"/>
      <c r="Q558" s="595"/>
      <c r="R558" s="595"/>
      <c r="S558" s="595"/>
      <c r="T558" s="595"/>
      <c r="U558" s="595"/>
      <c r="V558" s="595"/>
      <c r="W558" s="594"/>
      <c r="X558" s="594"/>
      <c r="Y558" s="595"/>
      <c r="Z558" s="595"/>
      <c r="AA558" s="595"/>
      <c r="AB558" s="595"/>
      <c r="AC558" s="595"/>
    </row>
    <row r="559" spans="1:29" ht="12.75" customHeight="1">
      <c r="A559" s="601"/>
      <c r="B559" s="602"/>
      <c r="C559" s="602"/>
      <c r="D559" s="602"/>
      <c r="E559" s="602"/>
      <c r="F559" s="602"/>
      <c r="G559" s="602"/>
      <c r="H559" s="602"/>
      <c r="I559" s="602"/>
      <c r="J559" s="602"/>
      <c r="K559" s="602"/>
      <c r="L559" s="603"/>
      <c r="M559" s="603"/>
      <c r="N559" s="603"/>
      <c r="O559" s="603"/>
      <c r="P559" s="603"/>
      <c r="Q559" s="595"/>
      <c r="R559" s="595"/>
      <c r="S559" s="595"/>
      <c r="T559" s="595"/>
      <c r="U559" s="595"/>
      <c r="V559" s="595"/>
      <c r="W559" s="594"/>
      <c r="X559" s="594"/>
      <c r="Y559" s="595"/>
      <c r="Z559" s="595"/>
      <c r="AA559" s="595"/>
      <c r="AB559" s="595"/>
      <c r="AC559" s="595"/>
    </row>
    <row r="560" spans="1:29" ht="12.75" customHeight="1">
      <c r="A560" s="601"/>
      <c r="B560" s="602"/>
      <c r="C560" s="602"/>
      <c r="D560" s="602"/>
      <c r="E560" s="602"/>
      <c r="F560" s="602"/>
      <c r="G560" s="602"/>
      <c r="H560" s="602"/>
      <c r="I560" s="602"/>
      <c r="J560" s="602"/>
      <c r="K560" s="602"/>
      <c r="L560" s="603"/>
      <c r="M560" s="603"/>
      <c r="N560" s="603"/>
      <c r="O560" s="603"/>
      <c r="P560" s="603"/>
      <c r="Q560" s="595"/>
      <c r="R560" s="595"/>
      <c r="S560" s="595"/>
      <c r="T560" s="595"/>
      <c r="U560" s="595"/>
      <c r="V560" s="595"/>
      <c r="W560" s="594"/>
      <c r="X560" s="594"/>
      <c r="Y560" s="595"/>
      <c r="Z560" s="595"/>
      <c r="AA560" s="595"/>
      <c r="AB560" s="595"/>
      <c r="AC560" s="595"/>
    </row>
    <row r="561" spans="1:29" ht="12.75" customHeight="1">
      <c r="A561" s="601"/>
      <c r="B561" s="602"/>
      <c r="C561" s="602"/>
      <c r="D561" s="602"/>
      <c r="E561" s="602"/>
      <c r="F561" s="602"/>
      <c r="G561" s="602"/>
      <c r="H561" s="602"/>
      <c r="I561" s="602"/>
      <c r="J561" s="602"/>
      <c r="K561" s="602"/>
      <c r="L561" s="603"/>
      <c r="M561" s="603"/>
      <c r="N561" s="603"/>
      <c r="O561" s="603"/>
      <c r="P561" s="603"/>
      <c r="Q561" s="595"/>
      <c r="R561" s="595"/>
      <c r="S561" s="595"/>
      <c r="T561" s="595"/>
      <c r="U561" s="595"/>
      <c r="V561" s="595"/>
      <c r="W561" s="594"/>
      <c r="X561" s="594"/>
      <c r="Y561" s="595"/>
      <c r="Z561" s="595"/>
      <c r="AA561" s="595"/>
      <c r="AB561" s="595"/>
      <c r="AC561" s="595"/>
    </row>
    <row r="562" spans="1:29" ht="12.75" customHeight="1">
      <c r="A562" s="601"/>
      <c r="B562" s="602"/>
      <c r="C562" s="602"/>
      <c r="D562" s="602"/>
      <c r="E562" s="602"/>
      <c r="F562" s="602"/>
      <c r="G562" s="602"/>
      <c r="H562" s="602"/>
      <c r="I562" s="602"/>
      <c r="J562" s="602"/>
      <c r="K562" s="602"/>
      <c r="L562" s="603"/>
      <c r="M562" s="603"/>
      <c r="N562" s="603"/>
      <c r="O562" s="603"/>
      <c r="P562" s="603"/>
      <c r="Q562" s="595"/>
      <c r="R562" s="595"/>
      <c r="S562" s="595"/>
      <c r="T562" s="595"/>
      <c r="U562" s="595"/>
      <c r="V562" s="595"/>
      <c r="W562" s="594"/>
      <c r="X562" s="594"/>
      <c r="Y562" s="595"/>
      <c r="Z562" s="595"/>
      <c r="AA562" s="595"/>
      <c r="AB562" s="595"/>
      <c r="AC562" s="595"/>
    </row>
    <row r="563" spans="1:29" ht="12.75" customHeight="1">
      <c r="A563" s="601"/>
      <c r="B563" s="602"/>
      <c r="C563" s="602"/>
      <c r="D563" s="602"/>
      <c r="E563" s="602"/>
      <c r="F563" s="602"/>
      <c r="G563" s="602"/>
      <c r="H563" s="602"/>
      <c r="I563" s="602"/>
      <c r="J563" s="602"/>
      <c r="K563" s="602"/>
      <c r="L563" s="603"/>
      <c r="M563" s="603"/>
      <c r="N563" s="603"/>
      <c r="O563" s="603"/>
      <c r="P563" s="603"/>
      <c r="Q563" s="595"/>
      <c r="R563" s="595"/>
      <c r="S563" s="595"/>
      <c r="T563" s="595"/>
      <c r="U563" s="595"/>
      <c r="V563" s="595"/>
      <c r="W563" s="594"/>
      <c r="X563" s="594"/>
      <c r="Y563" s="595"/>
      <c r="Z563" s="595"/>
      <c r="AA563" s="595"/>
      <c r="AB563" s="595"/>
      <c r="AC563" s="595"/>
    </row>
    <row r="564" spans="1:29" ht="12.75" customHeight="1">
      <c r="A564" s="601"/>
      <c r="B564" s="602"/>
      <c r="C564" s="602"/>
      <c r="D564" s="602"/>
      <c r="E564" s="602"/>
      <c r="F564" s="602"/>
      <c r="G564" s="602"/>
      <c r="H564" s="602"/>
      <c r="I564" s="602"/>
      <c r="J564" s="602"/>
      <c r="K564" s="602"/>
      <c r="L564" s="603"/>
      <c r="M564" s="603"/>
      <c r="N564" s="603"/>
      <c r="O564" s="603"/>
      <c r="P564" s="603"/>
      <c r="Q564" s="595"/>
      <c r="R564" s="595"/>
      <c r="S564" s="595"/>
      <c r="T564" s="595"/>
      <c r="U564" s="595"/>
      <c r="V564" s="595"/>
      <c r="W564" s="594"/>
      <c r="X564" s="594"/>
      <c r="Y564" s="595"/>
      <c r="Z564" s="595"/>
      <c r="AA564" s="595"/>
      <c r="AB564" s="595"/>
      <c r="AC564" s="595"/>
    </row>
    <row r="565" spans="1:29" ht="12.75" customHeight="1">
      <c r="A565" s="601"/>
      <c r="B565" s="602"/>
      <c r="C565" s="602"/>
      <c r="D565" s="602"/>
      <c r="E565" s="602"/>
      <c r="F565" s="602"/>
      <c r="G565" s="602"/>
      <c r="H565" s="602"/>
      <c r="I565" s="602"/>
      <c r="J565" s="602"/>
      <c r="K565" s="602"/>
      <c r="L565" s="603"/>
      <c r="M565" s="603"/>
      <c r="N565" s="603"/>
      <c r="O565" s="603"/>
      <c r="P565" s="603"/>
      <c r="Q565" s="595"/>
      <c r="R565" s="595"/>
      <c r="S565" s="595"/>
      <c r="T565" s="595"/>
      <c r="U565" s="595"/>
      <c r="V565" s="595"/>
      <c r="W565" s="594"/>
      <c r="X565" s="594"/>
      <c r="Y565" s="595"/>
      <c r="Z565" s="595"/>
      <c r="AA565" s="595"/>
      <c r="AB565" s="595"/>
      <c r="AC565" s="595"/>
    </row>
    <row r="566" spans="1:29" ht="12.75" customHeight="1">
      <c r="A566" s="601"/>
      <c r="B566" s="602"/>
      <c r="C566" s="602"/>
      <c r="D566" s="602"/>
      <c r="E566" s="602"/>
      <c r="F566" s="602"/>
      <c r="G566" s="602"/>
      <c r="H566" s="602"/>
      <c r="I566" s="602"/>
      <c r="J566" s="602"/>
      <c r="K566" s="602"/>
      <c r="L566" s="603"/>
      <c r="M566" s="603"/>
      <c r="N566" s="603"/>
      <c r="O566" s="603"/>
      <c r="P566" s="603"/>
      <c r="Q566" s="595"/>
      <c r="R566" s="595"/>
      <c r="S566" s="595"/>
      <c r="T566" s="595"/>
      <c r="U566" s="595"/>
      <c r="V566" s="595"/>
      <c r="W566" s="594"/>
      <c r="X566" s="594"/>
      <c r="Y566" s="595"/>
      <c r="Z566" s="595"/>
      <c r="AA566" s="595"/>
      <c r="AB566" s="595"/>
      <c r="AC566" s="595"/>
    </row>
    <row r="567" spans="1:29" ht="12.75" customHeight="1">
      <c r="A567" s="601"/>
      <c r="B567" s="602"/>
      <c r="C567" s="602"/>
      <c r="D567" s="602"/>
      <c r="E567" s="602"/>
      <c r="F567" s="602"/>
      <c r="G567" s="602"/>
      <c r="H567" s="602"/>
      <c r="I567" s="602"/>
      <c r="J567" s="602"/>
      <c r="K567" s="602"/>
      <c r="L567" s="603"/>
      <c r="M567" s="603"/>
      <c r="N567" s="603"/>
      <c r="O567" s="603"/>
      <c r="P567" s="603"/>
      <c r="Q567" s="595"/>
      <c r="R567" s="595"/>
      <c r="S567" s="595"/>
      <c r="T567" s="595"/>
      <c r="U567" s="595"/>
      <c r="V567" s="595"/>
      <c r="W567" s="594"/>
      <c r="X567" s="594"/>
      <c r="Y567" s="595"/>
      <c r="Z567" s="595"/>
      <c r="AA567" s="595"/>
      <c r="AB567" s="595"/>
      <c r="AC567" s="595"/>
    </row>
    <row r="568" spans="1:29" ht="12.75" customHeight="1">
      <c r="A568" s="601"/>
      <c r="B568" s="602"/>
      <c r="C568" s="602"/>
      <c r="D568" s="602"/>
      <c r="E568" s="602"/>
      <c r="F568" s="602"/>
      <c r="G568" s="602"/>
      <c r="H568" s="602"/>
      <c r="I568" s="602"/>
      <c r="J568" s="602"/>
      <c r="K568" s="602"/>
      <c r="L568" s="603"/>
      <c r="M568" s="603"/>
      <c r="N568" s="603"/>
      <c r="O568" s="603"/>
      <c r="P568" s="603"/>
      <c r="Q568" s="595"/>
      <c r="R568" s="595"/>
      <c r="S568" s="595"/>
      <c r="T568" s="595"/>
      <c r="U568" s="595"/>
      <c r="V568" s="595"/>
      <c r="W568" s="594"/>
      <c r="X568" s="594"/>
      <c r="Y568" s="595"/>
      <c r="Z568" s="595"/>
      <c r="AA568" s="595"/>
      <c r="AB568" s="595"/>
      <c r="AC568" s="595"/>
    </row>
    <row r="569" spans="1:29" ht="12.75" customHeight="1">
      <c r="A569" s="601"/>
      <c r="B569" s="602"/>
      <c r="C569" s="602"/>
      <c r="D569" s="602"/>
      <c r="E569" s="602"/>
      <c r="F569" s="602"/>
      <c r="G569" s="602"/>
      <c r="H569" s="602"/>
      <c r="I569" s="602"/>
      <c r="J569" s="602"/>
      <c r="K569" s="602"/>
      <c r="L569" s="603"/>
      <c r="M569" s="603"/>
      <c r="N569" s="603"/>
      <c r="O569" s="603"/>
      <c r="P569" s="603"/>
      <c r="Q569" s="595"/>
      <c r="R569" s="595"/>
      <c r="S569" s="595"/>
      <c r="T569" s="595"/>
      <c r="U569" s="595"/>
      <c r="V569" s="595"/>
      <c r="W569" s="594"/>
      <c r="X569" s="594"/>
      <c r="Y569" s="595"/>
      <c r="Z569" s="595"/>
      <c r="AA569" s="595"/>
      <c r="AB569" s="595"/>
      <c r="AC569" s="595"/>
    </row>
    <row r="570" spans="1:29" ht="12.75" customHeight="1">
      <c r="A570" s="601"/>
      <c r="B570" s="602"/>
      <c r="C570" s="602"/>
      <c r="D570" s="602"/>
      <c r="E570" s="602"/>
      <c r="F570" s="602"/>
      <c r="G570" s="602"/>
      <c r="H570" s="602"/>
      <c r="I570" s="602"/>
      <c r="J570" s="602"/>
      <c r="K570" s="602"/>
      <c r="L570" s="603"/>
      <c r="M570" s="603"/>
      <c r="N570" s="603"/>
      <c r="O570" s="603"/>
      <c r="P570" s="603"/>
      <c r="Q570" s="595"/>
      <c r="R570" s="595"/>
      <c r="S570" s="595"/>
      <c r="T570" s="595"/>
      <c r="U570" s="595"/>
      <c r="V570" s="595"/>
      <c r="W570" s="594"/>
      <c r="X570" s="594"/>
      <c r="Y570" s="595"/>
      <c r="Z570" s="595"/>
      <c r="AA570" s="595"/>
      <c r="AB570" s="595"/>
      <c r="AC570" s="595"/>
    </row>
    <row r="571" spans="1:29" ht="12.75" customHeight="1">
      <c r="A571" s="601"/>
      <c r="B571" s="602"/>
      <c r="C571" s="602"/>
      <c r="D571" s="602"/>
      <c r="E571" s="602"/>
      <c r="F571" s="602"/>
      <c r="G571" s="602"/>
      <c r="H571" s="602"/>
      <c r="I571" s="602"/>
      <c r="J571" s="602"/>
      <c r="K571" s="602"/>
      <c r="L571" s="603"/>
      <c r="M571" s="603"/>
      <c r="N571" s="603"/>
      <c r="O571" s="603"/>
      <c r="P571" s="603"/>
      <c r="Q571" s="595"/>
      <c r="R571" s="595"/>
      <c r="S571" s="595"/>
      <c r="T571" s="595"/>
      <c r="U571" s="595"/>
      <c r="V571" s="595"/>
      <c r="W571" s="594"/>
      <c r="X571" s="594"/>
      <c r="Y571" s="595"/>
      <c r="Z571" s="595"/>
      <c r="AA571" s="595"/>
      <c r="AB571" s="595"/>
      <c r="AC571" s="595"/>
    </row>
    <row r="572" spans="1:29" ht="12.75" customHeight="1">
      <c r="A572" s="601"/>
      <c r="B572" s="602"/>
      <c r="C572" s="602"/>
      <c r="D572" s="602"/>
      <c r="E572" s="602"/>
      <c r="F572" s="602"/>
      <c r="G572" s="602"/>
      <c r="H572" s="602"/>
      <c r="I572" s="602"/>
      <c r="J572" s="602"/>
      <c r="K572" s="602"/>
      <c r="L572" s="603"/>
      <c r="M572" s="603"/>
      <c r="N572" s="603"/>
      <c r="O572" s="603"/>
      <c r="P572" s="603"/>
      <c r="Q572" s="595"/>
      <c r="R572" s="595"/>
      <c r="S572" s="595"/>
      <c r="T572" s="595"/>
      <c r="U572" s="595"/>
      <c r="V572" s="595"/>
      <c r="W572" s="594"/>
      <c r="X572" s="594"/>
      <c r="Y572" s="595"/>
      <c r="Z572" s="595"/>
      <c r="AA572" s="595"/>
      <c r="AB572" s="595"/>
      <c r="AC572" s="595"/>
    </row>
    <row r="573" spans="1:29" ht="12.75" customHeight="1">
      <c r="A573" s="601"/>
      <c r="B573" s="602"/>
      <c r="C573" s="602"/>
      <c r="D573" s="602"/>
      <c r="E573" s="602"/>
      <c r="F573" s="602"/>
      <c r="G573" s="602"/>
      <c r="H573" s="602"/>
      <c r="I573" s="602"/>
      <c r="J573" s="602"/>
      <c r="K573" s="602"/>
      <c r="L573" s="603"/>
      <c r="M573" s="603"/>
      <c r="N573" s="603"/>
      <c r="O573" s="603"/>
      <c r="P573" s="603"/>
      <c r="Q573" s="595"/>
      <c r="R573" s="595"/>
      <c r="S573" s="595"/>
      <c r="T573" s="595"/>
      <c r="U573" s="595"/>
      <c r="V573" s="595"/>
      <c r="W573" s="594"/>
      <c r="X573" s="594"/>
      <c r="Y573" s="595"/>
      <c r="Z573" s="595"/>
      <c r="AA573" s="595"/>
      <c r="AB573" s="595"/>
      <c r="AC573" s="595"/>
    </row>
    <row r="574" spans="1:29" ht="12.75" customHeight="1">
      <c r="A574" s="601"/>
      <c r="B574" s="602"/>
      <c r="C574" s="602"/>
      <c r="D574" s="602"/>
      <c r="E574" s="602"/>
      <c r="F574" s="602"/>
      <c r="G574" s="602"/>
      <c r="H574" s="602"/>
      <c r="I574" s="602"/>
      <c r="J574" s="602"/>
      <c r="K574" s="602"/>
      <c r="L574" s="603"/>
      <c r="M574" s="603"/>
      <c r="N574" s="603"/>
      <c r="O574" s="603"/>
      <c r="P574" s="603"/>
      <c r="Q574" s="595"/>
      <c r="R574" s="595"/>
      <c r="S574" s="595"/>
      <c r="T574" s="595"/>
      <c r="U574" s="595"/>
      <c r="V574" s="595"/>
      <c r="W574" s="594"/>
      <c r="X574" s="594"/>
      <c r="Y574" s="595"/>
      <c r="Z574" s="595"/>
      <c r="AA574" s="595"/>
      <c r="AB574" s="595"/>
      <c r="AC574" s="595"/>
    </row>
    <row r="575" spans="1:29" ht="12.75" customHeight="1">
      <c r="A575" s="601"/>
      <c r="B575" s="602"/>
      <c r="C575" s="602"/>
      <c r="D575" s="602"/>
      <c r="E575" s="602"/>
      <c r="F575" s="602"/>
      <c r="G575" s="602"/>
      <c r="H575" s="602"/>
      <c r="I575" s="602"/>
      <c r="J575" s="602"/>
      <c r="K575" s="602"/>
      <c r="L575" s="603"/>
      <c r="M575" s="603"/>
      <c r="N575" s="603"/>
      <c r="O575" s="603"/>
      <c r="P575" s="603"/>
      <c r="Q575" s="595"/>
      <c r="R575" s="595"/>
      <c r="S575" s="595"/>
      <c r="T575" s="595"/>
      <c r="U575" s="595"/>
      <c r="V575" s="595"/>
      <c r="W575" s="594"/>
      <c r="X575" s="594"/>
      <c r="Y575" s="595"/>
      <c r="Z575" s="595"/>
      <c r="AA575" s="595"/>
      <c r="AB575" s="595"/>
      <c r="AC575" s="595"/>
    </row>
    <row r="576" spans="1:29" ht="12.75" customHeight="1">
      <c r="A576" s="601"/>
      <c r="B576" s="602"/>
      <c r="C576" s="602"/>
      <c r="D576" s="602"/>
      <c r="E576" s="602"/>
      <c r="F576" s="602"/>
      <c r="G576" s="602"/>
      <c r="H576" s="602"/>
      <c r="I576" s="602"/>
      <c r="J576" s="602"/>
      <c r="K576" s="602"/>
      <c r="L576" s="603"/>
      <c r="M576" s="603"/>
      <c r="N576" s="603"/>
      <c r="O576" s="603"/>
      <c r="P576" s="603"/>
      <c r="Q576" s="595"/>
      <c r="R576" s="595"/>
      <c r="S576" s="595"/>
      <c r="T576" s="595"/>
      <c r="U576" s="595"/>
      <c r="V576" s="595"/>
      <c r="W576" s="594"/>
      <c r="X576" s="594"/>
      <c r="Y576" s="595"/>
      <c r="Z576" s="595"/>
      <c r="AA576" s="595"/>
      <c r="AB576" s="595"/>
      <c r="AC576" s="595"/>
    </row>
    <row r="577" spans="1:29" ht="12.75" customHeight="1">
      <c r="A577" s="601"/>
      <c r="B577" s="602"/>
      <c r="C577" s="602"/>
      <c r="D577" s="602"/>
      <c r="E577" s="602"/>
      <c r="F577" s="602"/>
      <c r="G577" s="602"/>
      <c r="H577" s="602"/>
      <c r="I577" s="602"/>
      <c r="J577" s="602"/>
      <c r="K577" s="602"/>
      <c r="L577" s="603"/>
      <c r="M577" s="603"/>
      <c r="N577" s="603"/>
      <c r="O577" s="603"/>
      <c r="P577" s="603"/>
      <c r="Q577" s="595"/>
      <c r="R577" s="595"/>
      <c r="S577" s="595"/>
      <c r="T577" s="595"/>
      <c r="U577" s="595"/>
      <c r="V577" s="595"/>
      <c r="W577" s="594"/>
      <c r="X577" s="594"/>
      <c r="Y577" s="595"/>
      <c r="Z577" s="595"/>
      <c r="AA577" s="595"/>
      <c r="AB577" s="595"/>
      <c r="AC577" s="595"/>
    </row>
    <row r="578" spans="1:29" ht="12.75" customHeight="1">
      <c r="A578" s="601"/>
      <c r="B578" s="602"/>
      <c r="C578" s="602"/>
      <c r="D578" s="602"/>
      <c r="E578" s="602"/>
      <c r="F578" s="602"/>
      <c r="G578" s="602"/>
      <c r="H578" s="602"/>
      <c r="I578" s="602"/>
      <c r="J578" s="602"/>
      <c r="K578" s="602"/>
      <c r="L578" s="603"/>
      <c r="M578" s="603"/>
      <c r="N578" s="603"/>
      <c r="O578" s="603"/>
      <c r="P578" s="603"/>
      <c r="Q578" s="595"/>
      <c r="R578" s="595"/>
      <c r="S578" s="595"/>
      <c r="T578" s="595"/>
      <c r="U578" s="595"/>
      <c r="V578" s="595"/>
      <c r="W578" s="594"/>
      <c r="X578" s="594"/>
      <c r="Y578" s="595"/>
      <c r="Z578" s="595"/>
      <c r="AA578" s="595"/>
      <c r="AB578" s="595"/>
      <c r="AC578" s="595"/>
    </row>
    <row r="579" spans="1:29" ht="12.75" customHeight="1">
      <c r="A579" s="601"/>
      <c r="B579" s="602"/>
      <c r="C579" s="602"/>
      <c r="D579" s="602"/>
      <c r="E579" s="602"/>
      <c r="F579" s="602"/>
      <c r="G579" s="602"/>
      <c r="H579" s="602"/>
      <c r="I579" s="602"/>
      <c r="J579" s="602"/>
      <c r="K579" s="602"/>
      <c r="L579" s="603"/>
      <c r="M579" s="603"/>
      <c r="N579" s="603"/>
      <c r="O579" s="603"/>
      <c r="P579" s="603"/>
      <c r="Q579" s="595"/>
      <c r="R579" s="595"/>
      <c r="S579" s="595"/>
      <c r="T579" s="595"/>
      <c r="U579" s="595"/>
      <c r="V579" s="595"/>
      <c r="W579" s="594"/>
      <c r="X579" s="594"/>
      <c r="Y579" s="595"/>
      <c r="Z579" s="595"/>
      <c r="AA579" s="595"/>
      <c r="AB579" s="595"/>
      <c r="AC579" s="595"/>
    </row>
    <row r="580" spans="1:29" ht="12.75" customHeight="1">
      <c r="A580" s="601"/>
      <c r="B580" s="602"/>
      <c r="C580" s="602"/>
      <c r="D580" s="602"/>
      <c r="E580" s="602"/>
      <c r="F580" s="602"/>
      <c r="G580" s="602"/>
      <c r="H580" s="602"/>
      <c r="I580" s="602"/>
      <c r="J580" s="602"/>
      <c r="K580" s="602"/>
      <c r="L580" s="603"/>
      <c r="M580" s="603"/>
      <c r="N580" s="603"/>
      <c r="O580" s="603"/>
      <c r="P580" s="603"/>
      <c r="Q580" s="595"/>
      <c r="R580" s="595"/>
      <c r="S580" s="595"/>
      <c r="T580" s="595"/>
      <c r="U580" s="595"/>
      <c r="V580" s="595"/>
      <c r="W580" s="594"/>
      <c r="X580" s="594"/>
      <c r="Y580" s="595"/>
      <c r="Z580" s="595"/>
      <c r="AA580" s="595"/>
      <c r="AB580" s="595"/>
      <c r="AC580" s="595"/>
    </row>
    <row r="581" spans="1:29" ht="12.75" customHeight="1">
      <c r="A581" s="601"/>
      <c r="B581" s="602"/>
      <c r="C581" s="602"/>
      <c r="D581" s="602"/>
      <c r="E581" s="602"/>
      <c r="F581" s="602"/>
      <c r="G581" s="602"/>
      <c r="H581" s="602"/>
      <c r="I581" s="602"/>
      <c r="J581" s="602"/>
      <c r="K581" s="602"/>
      <c r="L581" s="603"/>
      <c r="M581" s="603"/>
      <c r="N581" s="603"/>
      <c r="O581" s="603"/>
      <c r="P581" s="603"/>
      <c r="Q581" s="595"/>
      <c r="R581" s="595"/>
      <c r="S581" s="595"/>
      <c r="T581" s="595"/>
      <c r="U581" s="595"/>
      <c r="V581" s="595"/>
      <c r="W581" s="594"/>
      <c r="X581" s="594"/>
      <c r="Y581" s="595"/>
      <c r="Z581" s="595"/>
      <c r="AA581" s="595"/>
      <c r="AB581" s="595"/>
      <c r="AC581" s="595"/>
    </row>
    <row r="582" spans="1:29" ht="12.75" customHeight="1">
      <c r="A582" s="601"/>
      <c r="B582" s="602"/>
      <c r="C582" s="602"/>
      <c r="D582" s="602"/>
      <c r="E582" s="602"/>
      <c r="F582" s="602"/>
      <c r="G582" s="602"/>
      <c r="H582" s="602"/>
      <c r="I582" s="602"/>
      <c r="J582" s="602"/>
      <c r="K582" s="602"/>
      <c r="L582" s="603"/>
      <c r="M582" s="603"/>
      <c r="N582" s="603"/>
      <c r="O582" s="603"/>
      <c r="P582" s="603"/>
      <c r="Q582" s="595"/>
      <c r="R582" s="595"/>
      <c r="S582" s="595"/>
      <c r="T582" s="595"/>
      <c r="U582" s="595"/>
      <c r="V582" s="595"/>
      <c r="W582" s="594"/>
      <c r="X582" s="594"/>
      <c r="Y582" s="595"/>
      <c r="Z582" s="595"/>
      <c r="AA582" s="595"/>
      <c r="AB582" s="595"/>
      <c r="AC582" s="595"/>
    </row>
    <row r="583" spans="1:29" ht="12.75" customHeight="1">
      <c r="A583" s="601"/>
      <c r="B583" s="602"/>
      <c r="C583" s="602"/>
      <c r="D583" s="602"/>
      <c r="E583" s="602"/>
      <c r="F583" s="602"/>
      <c r="G583" s="602"/>
      <c r="H583" s="602"/>
      <c r="I583" s="602"/>
      <c r="J583" s="602"/>
      <c r="K583" s="602"/>
      <c r="L583" s="603"/>
      <c r="M583" s="603"/>
      <c r="N583" s="603"/>
      <c r="O583" s="603"/>
      <c r="P583" s="603"/>
      <c r="Q583" s="595"/>
      <c r="R583" s="595"/>
      <c r="S583" s="595"/>
      <c r="T583" s="595"/>
      <c r="U583" s="595"/>
      <c r="V583" s="595"/>
      <c r="W583" s="594"/>
      <c r="X583" s="594"/>
      <c r="Y583" s="595"/>
      <c r="Z583" s="595"/>
      <c r="AA583" s="595"/>
      <c r="AB583" s="595"/>
      <c r="AC583" s="595"/>
    </row>
    <row r="584" spans="1:29" ht="12.75" customHeight="1">
      <c r="A584" s="601"/>
      <c r="B584" s="602"/>
      <c r="C584" s="602"/>
      <c r="D584" s="602"/>
      <c r="E584" s="602"/>
      <c r="F584" s="602"/>
      <c r="G584" s="602"/>
      <c r="H584" s="602"/>
      <c r="I584" s="602"/>
      <c r="J584" s="602"/>
      <c r="K584" s="602"/>
      <c r="L584" s="603"/>
      <c r="M584" s="603"/>
      <c r="N584" s="603"/>
      <c r="O584" s="603"/>
      <c r="P584" s="603"/>
      <c r="Q584" s="595"/>
      <c r="R584" s="595"/>
      <c r="S584" s="595"/>
      <c r="T584" s="595"/>
      <c r="U584" s="595"/>
      <c r="V584" s="595"/>
      <c r="W584" s="594"/>
      <c r="X584" s="594"/>
      <c r="Y584" s="595"/>
      <c r="Z584" s="595"/>
      <c r="AA584" s="595"/>
      <c r="AB584" s="595"/>
      <c r="AC584" s="595"/>
    </row>
    <row r="585" spans="1:29" ht="12.75" customHeight="1">
      <c r="A585" s="601"/>
      <c r="B585" s="602"/>
      <c r="C585" s="602"/>
      <c r="D585" s="602"/>
      <c r="E585" s="602"/>
      <c r="F585" s="602"/>
      <c r="G585" s="602"/>
      <c r="H585" s="602"/>
      <c r="I585" s="602"/>
      <c r="J585" s="602"/>
      <c r="K585" s="602"/>
      <c r="L585" s="603"/>
      <c r="M585" s="603"/>
      <c r="N585" s="603"/>
      <c r="O585" s="603"/>
      <c r="P585" s="603"/>
      <c r="Q585" s="595"/>
      <c r="R585" s="595"/>
      <c r="S585" s="595"/>
      <c r="T585" s="595"/>
      <c r="U585" s="595"/>
      <c r="V585" s="595"/>
      <c r="W585" s="594"/>
      <c r="X585" s="594"/>
      <c r="Y585" s="595"/>
      <c r="Z585" s="595"/>
      <c r="AA585" s="595"/>
      <c r="AB585" s="595"/>
      <c r="AC585" s="595"/>
    </row>
    <row r="586" spans="1:29" ht="12.75" customHeight="1">
      <c r="A586" s="601"/>
      <c r="B586" s="602"/>
      <c r="C586" s="602"/>
      <c r="D586" s="602"/>
      <c r="E586" s="602"/>
      <c r="F586" s="602"/>
      <c r="G586" s="602"/>
      <c r="H586" s="602"/>
      <c r="I586" s="602"/>
      <c r="J586" s="602"/>
      <c r="K586" s="602"/>
      <c r="L586" s="603"/>
      <c r="M586" s="603"/>
      <c r="N586" s="603"/>
      <c r="O586" s="603"/>
      <c r="P586" s="603"/>
      <c r="Q586" s="595"/>
      <c r="R586" s="595"/>
      <c r="S586" s="595"/>
      <c r="T586" s="595"/>
      <c r="U586" s="595"/>
      <c r="V586" s="595"/>
      <c r="W586" s="594"/>
      <c r="X586" s="594"/>
      <c r="Y586" s="595"/>
      <c r="Z586" s="595"/>
      <c r="AA586" s="595"/>
      <c r="AB586" s="595"/>
      <c r="AC586" s="595"/>
    </row>
    <row r="587" spans="1:29" ht="12.75" customHeight="1">
      <c r="A587" s="601"/>
      <c r="B587" s="602"/>
      <c r="C587" s="602"/>
      <c r="D587" s="602"/>
      <c r="E587" s="602"/>
      <c r="F587" s="602"/>
      <c r="G587" s="602"/>
      <c r="H587" s="602"/>
      <c r="I587" s="602"/>
      <c r="J587" s="602"/>
      <c r="K587" s="602"/>
      <c r="L587" s="603"/>
      <c r="M587" s="603"/>
      <c r="N587" s="603"/>
      <c r="O587" s="603"/>
      <c r="P587" s="603"/>
      <c r="Q587" s="595"/>
      <c r="R587" s="595"/>
      <c r="S587" s="595"/>
      <c r="T587" s="595"/>
      <c r="U587" s="595"/>
      <c r="V587" s="595"/>
      <c r="W587" s="594"/>
      <c r="X587" s="594"/>
      <c r="Y587" s="595"/>
      <c r="Z587" s="595"/>
      <c r="AA587" s="595"/>
      <c r="AB587" s="595"/>
      <c r="AC587" s="595"/>
    </row>
    <row r="588" spans="1:29" ht="12.75" customHeight="1">
      <c r="A588" s="601"/>
      <c r="B588" s="602"/>
      <c r="C588" s="602"/>
      <c r="D588" s="602"/>
      <c r="E588" s="602"/>
      <c r="F588" s="602"/>
      <c r="G588" s="602"/>
      <c r="H588" s="602"/>
      <c r="I588" s="602"/>
      <c r="J588" s="602"/>
      <c r="K588" s="602"/>
      <c r="L588" s="603"/>
      <c r="M588" s="603"/>
      <c r="N588" s="603"/>
      <c r="O588" s="603"/>
      <c r="P588" s="603"/>
      <c r="Q588" s="595"/>
      <c r="R588" s="595"/>
      <c r="S588" s="595"/>
      <c r="T588" s="595"/>
      <c r="U588" s="595"/>
      <c r="V588" s="595"/>
      <c r="W588" s="594"/>
      <c r="X588" s="594"/>
      <c r="Y588" s="595"/>
      <c r="Z588" s="595"/>
      <c r="AA588" s="595"/>
      <c r="AB588" s="595"/>
      <c r="AC588" s="595"/>
    </row>
    <row r="589" spans="1:29" ht="12.75" customHeight="1">
      <c r="A589" s="601"/>
      <c r="B589" s="602"/>
      <c r="C589" s="602"/>
      <c r="D589" s="602"/>
      <c r="E589" s="602"/>
      <c r="F589" s="602"/>
      <c r="G589" s="602"/>
      <c r="H589" s="602"/>
      <c r="I589" s="602"/>
      <c r="J589" s="602"/>
      <c r="K589" s="602"/>
      <c r="L589" s="603"/>
      <c r="M589" s="603"/>
      <c r="N589" s="603"/>
      <c r="O589" s="603"/>
      <c r="P589" s="603"/>
      <c r="Q589" s="595"/>
      <c r="R589" s="595"/>
      <c r="S589" s="595"/>
      <c r="T589" s="595"/>
      <c r="U589" s="595"/>
      <c r="V589" s="595"/>
      <c r="W589" s="594"/>
      <c r="X589" s="594"/>
      <c r="Y589" s="595"/>
      <c r="Z589" s="595"/>
      <c r="AA589" s="595"/>
      <c r="AB589" s="595"/>
      <c r="AC589" s="595"/>
    </row>
    <row r="590" spans="1:29" ht="12.75" customHeight="1">
      <c r="A590" s="601"/>
      <c r="B590" s="602"/>
      <c r="C590" s="602"/>
      <c r="D590" s="602"/>
      <c r="E590" s="602"/>
      <c r="F590" s="602"/>
      <c r="G590" s="602"/>
      <c r="H590" s="602"/>
      <c r="I590" s="602"/>
      <c r="J590" s="602"/>
      <c r="K590" s="602"/>
      <c r="L590" s="603"/>
      <c r="M590" s="603"/>
      <c r="N590" s="603"/>
      <c r="O590" s="603"/>
      <c r="P590" s="603"/>
      <c r="Q590" s="595"/>
      <c r="R590" s="595"/>
      <c r="S590" s="595"/>
      <c r="T590" s="595"/>
      <c r="U590" s="595"/>
      <c r="V590" s="595"/>
      <c r="W590" s="594"/>
      <c r="X590" s="594"/>
      <c r="Y590" s="595"/>
      <c r="Z590" s="595"/>
      <c r="AA590" s="595"/>
      <c r="AB590" s="595"/>
      <c r="AC590" s="595"/>
    </row>
    <row r="591" spans="1:29" ht="12.75" customHeight="1">
      <c r="A591" s="601"/>
      <c r="B591" s="602"/>
      <c r="C591" s="602"/>
      <c r="D591" s="602"/>
      <c r="E591" s="602"/>
      <c r="F591" s="602"/>
      <c r="G591" s="602"/>
      <c r="H591" s="602"/>
      <c r="I591" s="602"/>
      <c r="J591" s="602"/>
      <c r="K591" s="602"/>
      <c r="L591" s="603"/>
      <c r="M591" s="603"/>
      <c r="N591" s="603"/>
      <c r="O591" s="603"/>
      <c r="P591" s="603"/>
      <c r="Q591" s="595"/>
      <c r="R591" s="595"/>
      <c r="S591" s="595"/>
      <c r="T591" s="595"/>
      <c r="U591" s="595"/>
      <c r="V591" s="595"/>
      <c r="W591" s="594"/>
      <c r="X591" s="594"/>
      <c r="Y591" s="595"/>
      <c r="Z591" s="595"/>
      <c r="AA591" s="595"/>
      <c r="AB591" s="595"/>
      <c r="AC591" s="595"/>
    </row>
    <row r="592" spans="1:29" ht="12.75" customHeight="1">
      <c r="A592" s="601"/>
      <c r="B592" s="602"/>
      <c r="C592" s="602"/>
      <c r="D592" s="602"/>
      <c r="E592" s="602"/>
      <c r="F592" s="602"/>
      <c r="G592" s="602"/>
      <c r="H592" s="602"/>
      <c r="I592" s="602"/>
      <c r="J592" s="602"/>
      <c r="K592" s="602"/>
      <c r="L592" s="603"/>
      <c r="M592" s="603"/>
      <c r="N592" s="603"/>
      <c r="O592" s="603"/>
      <c r="P592" s="603"/>
      <c r="Q592" s="595"/>
      <c r="R592" s="595"/>
      <c r="S592" s="595"/>
      <c r="T592" s="595"/>
      <c r="U592" s="595"/>
      <c r="V592" s="595"/>
      <c r="W592" s="594"/>
      <c r="X592" s="594"/>
      <c r="Y592" s="595"/>
      <c r="Z592" s="595"/>
      <c r="AA592" s="595"/>
      <c r="AB592" s="595"/>
      <c r="AC592" s="595"/>
    </row>
    <row r="593" spans="1:29" ht="12.75" customHeight="1">
      <c r="A593" s="601"/>
      <c r="B593" s="602"/>
      <c r="C593" s="602"/>
      <c r="D593" s="602"/>
      <c r="E593" s="602"/>
      <c r="F593" s="602"/>
      <c r="G593" s="602"/>
      <c r="H593" s="602"/>
      <c r="I593" s="602"/>
      <c r="J593" s="602"/>
      <c r="K593" s="602"/>
      <c r="L593" s="603"/>
      <c r="M593" s="603"/>
      <c r="N593" s="603"/>
      <c r="O593" s="603"/>
      <c r="P593" s="603"/>
      <c r="Q593" s="595"/>
      <c r="R593" s="595"/>
      <c r="S593" s="595"/>
      <c r="T593" s="595"/>
      <c r="U593" s="595"/>
      <c r="V593" s="595"/>
      <c r="W593" s="594"/>
      <c r="X593" s="594"/>
      <c r="Y593" s="595"/>
      <c r="Z593" s="595"/>
      <c r="AA593" s="595"/>
      <c r="AB593" s="595"/>
      <c r="AC593" s="595"/>
    </row>
    <row r="594" spans="1:29" ht="12.75" customHeight="1">
      <c r="A594" s="601"/>
      <c r="B594" s="602"/>
      <c r="C594" s="602"/>
      <c r="D594" s="602"/>
      <c r="E594" s="602"/>
      <c r="F594" s="602"/>
      <c r="G594" s="602"/>
      <c r="H594" s="602"/>
      <c r="I594" s="602"/>
      <c r="J594" s="602"/>
      <c r="K594" s="602"/>
      <c r="L594" s="603"/>
      <c r="M594" s="603"/>
      <c r="N594" s="603"/>
      <c r="O594" s="603"/>
      <c r="P594" s="603"/>
      <c r="Q594" s="595"/>
      <c r="R594" s="595"/>
      <c r="S594" s="595"/>
      <c r="T594" s="595"/>
      <c r="U594" s="595"/>
      <c r="V594" s="595"/>
      <c r="W594" s="594"/>
      <c r="X594" s="594"/>
      <c r="Y594" s="595"/>
      <c r="Z594" s="595"/>
      <c r="AA594" s="595"/>
      <c r="AB594" s="595"/>
      <c r="AC594" s="595"/>
    </row>
    <row r="595" spans="1:29" ht="12.75" customHeight="1">
      <c r="A595" s="601"/>
      <c r="B595" s="602"/>
      <c r="C595" s="602"/>
      <c r="D595" s="602"/>
      <c r="E595" s="602"/>
      <c r="F595" s="602"/>
      <c r="G595" s="602"/>
      <c r="H595" s="602"/>
      <c r="I595" s="602"/>
      <c r="J595" s="602"/>
      <c r="K595" s="602"/>
      <c r="L595" s="603"/>
      <c r="M595" s="603"/>
      <c r="N595" s="603"/>
      <c r="O595" s="603"/>
      <c r="P595" s="603"/>
      <c r="Q595" s="595"/>
      <c r="R595" s="595"/>
      <c r="S595" s="595"/>
      <c r="T595" s="595"/>
      <c r="U595" s="595"/>
      <c r="V595" s="595"/>
      <c r="W595" s="594"/>
      <c r="X595" s="594"/>
      <c r="Y595" s="595"/>
      <c r="Z595" s="595"/>
      <c r="AA595" s="595"/>
      <c r="AB595" s="595"/>
      <c r="AC595" s="595"/>
    </row>
    <row r="596" spans="1:29" ht="12.75" customHeight="1">
      <c r="A596" s="601"/>
      <c r="B596" s="602"/>
      <c r="C596" s="602"/>
      <c r="D596" s="602"/>
      <c r="E596" s="602"/>
      <c r="F596" s="602"/>
      <c r="G596" s="602"/>
      <c r="H596" s="602"/>
      <c r="I596" s="602"/>
      <c r="J596" s="602"/>
      <c r="K596" s="602"/>
      <c r="L596" s="603"/>
      <c r="M596" s="603"/>
      <c r="N596" s="603"/>
      <c r="O596" s="603"/>
      <c r="P596" s="603"/>
      <c r="Q596" s="595"/>
      <c r="R596" s="595"/>
      <c r="S596" s="595"/>
      <c r="T596" s="595"/>
      <c r="U596" s="595"/>
      <c r="V596" s="595"/>
      <c r="W596" s="594"/>
      <c r="X596" s="594"/>
      <c r="Y596" s="595"/>
      <c r="Z596" s="595"/>
      <c r="AA596" s="595"/>
      <c r="AB596" s="595"/>
      <c r="AC596" s="595"/>
    </row>
    <row r="597" spans="1:29" ht="12.75" customHeight="1">
      <c r="A597" s="601"/>
      <c r="B597" s="602"/>
      <c r="C597" s="602"/>
      <c r="D597" s="602"/>
      <c r="E597" s="602"/>
      <c r="F597" s="602"/>
      <c r="G597" s="602"/>
      <c r="H597" s="602"/>
      <c r="I597" s="602"/>
      <c r="J597" s="602"/>
      <c r="K597" s="602"/>
      <c r="L597" s="603"/>
      <c r="M597" s="603"/>
      <c r="N597" s="603"/>
      <c r="O597" s="603"/>
      <c r="P597" s="603"/>
      <c r="Q597" s="595"/>
      <c r="R597" s="595"/>
      <c r="S597" s="595"/>
      <c r="T597" s="595"/>
      <c r="U597" s="595"/>
      <c r="V597" s="595"/>
      <c r="W597" s="594"/>
      <c r="X597" s="594"/>
      <c r="Y597" s="595"/>
      <c r="Z597" s="595"/>
      <c r="AA597" s="595"/>
      <c r="AB597" s="595"/>
      <c r="AC597" s="595"/>
    </row>
    <row r="598" spans="1:29" ht="12.75" customHeight="1">
      <c r="A598" s="601"/>
      <c r="B598" s="602"/>
      <c r="C598" s="602"/>
      <c r="D598" s="602"/>
      <c r="E598" s="602"/>
      <c r="F598" s="602"/>
      <c r="G598" s="602"/>
      <c r="H598" s="602"/>
      <c r="I598" s="602"/>
      <c r="J598" s="602"/>
      <c r="K598" s="602"/>
      <c r="L598" s="603"/>
      <c r="M598" s="603"/>
      <c r="N598" s="603"/>
      <c r="O598" s="603"/>
      <c r="P598" s="603"/>
      <c r="Q598" s="595"/>
      <c r="R598" s="595"/>
      <c r="S598" s="595"/>
      <c r="T598" s="595"/>
      <c r="U598" s="595"/>
      <c r="V598" s="595"/>
      <c r="W598" s="594"/>
      <c r="X598" s="594"/>
      <c r="Y598" s="595"/>
      <c r="Z598" s="595"/>
      <c r="AA598" s="595"/>
      <c r="AB598" s="595"/>
      <c r="AC598" s="595"/>
    </row>
    <row r="599" spans="1:29" ht="12.75" customHeight="1">
      <c r="A599" s="601"/>
      <c r="B599" s="602"/>
      <c r="C599" s="602"/>
      <c r="D599" s="602"/>
      <c r="E599" s="602"/>
      <c r="F599" s="602"/>
      <c r="G599" s="602"/>
      <c r="H599" s="602"/>
      <c r="I599" s="602"/>
      <c r="J599" s="602"/>
      <c r="K599" s="602"/>
      <c r="L599" s="603"/>
      <c r="M599" s="603"/>
      <c r="N599" s="603"/>
      <c r="O599" s="603"/>
      <c r="P599" s="603"/>
      <c r="Q599" s="595"/>
      <c r="R599" s="595"/>
      <c r="S599" s="595"/>
      <c r="T599" s="595"/>
      <c r="U599" s="595"/>
      <c r="V599" s="595"/>
      <c r="W599" s="594"/>
      <c r="X599" s="594"/>
      <c r="Y599" s="595"/>
      <c r="Z599" s="595"/>
      <c r="AA599" s="595"/>
      <c r="AB599" s="595"/>
      <c r="AC599" s="595"/>
    </row>
    <row r="600" spans="1:29" ht="12.75" customHeight="1">
      <c r="A600" s="601"/>
      <c r="B600" s="602"/>
      <c r="C600" s="602"/>
      <c r="D600" s="602"/>
      <c r="E600" s="602"/>
      <c r="F600" s="602"/>
      <c r="G600" s="602"/>
      <c r="H600" s="602"/>
      <c r="I600" s="602"/>
      <c r="J600" s="602"/>
      <c r="K600" s="602"/>
      <c r="L600" s="603"/>
      <c r="M600" s="603"/>
      <c r="N600" s="603"/>
      <c r="O600" s="603"/>
      <c r="P600" s="603"/>
      <c r="Q600" s="595"/>
      <c r="R600" s="595"/>
      <c r="S600" s="595"/>
      <c r="T600" s="595"/>
      <c r="U600" s="595"/>
      <c r="V600" s="595"/>
      <c r="W600" s="594"/>
      <c r="X600" s="594"/>
      <c r="Y600" s="595"/>
      <c r="Z600" s="595"/>
      <c r="AA600" s="595"/>
      <c r="AB600" s="595"/>
      <c r="AC600" s="595"/>
    </row>
    <row r="601" spans="1:29" ht="12.75" customHeight="1">
      <c r="A601" s="601"/>
      <c r="B601" s="602"/>
      <c r="C601" s="602"/>
      <c r="D601" s="602"/>
      <c r="E601" s="602"/>
      <c r="F601" s="602"/>
      <c r="G601" s="602"/>
      <c r="H601" s="602"/>
      <c r="I601" s="602"/>
      <c r="J601" s="602"/>
      <c r="K601" s="602"/>
      <c r="L601" s="603"/>
      <c r="M601" s="603"/>
      <c r="N601" s="603"/>
      <c r="O601" s="603"/>
      <c r="P601" s="603"/>
      <c r="Q601" s="595"/>
      <c r="R601" s="595"/>
      <c r="S601" s="595"/>
      <c r="T601" s="595"/>
      <c r="U601" s="595"/>
      <c r="V601" s="595"/>
      <c r="W601" s="594"/>
      <c r="X601" s="594"/>
      <c r="Y601" s="595"/>
      <c r="Z601" s="595"/>
      <c r="AA601" s="595"/>
      <c r="AB601" s="595"/>
      <c r="AC601" s="595"/>
    </row>
    <row r="602" spans="1:29" ht="12.75" customHeight="1">
      <c r="A602" s="601"/>
      <c r="B602" s="602"/>
      <c r="C602" s="602"/>
      <c r="D602" s="602"/>
      <c r="E602" s="602"/>
      <c r="F602" s="602"/>
      <c r="G602" s="602"/>
      <c r="H602" s="602"/>
      <c r="I602" s="602"/>
      <c r="J602" s="602"/>
      <c r="K602" s="602"/>
      <c r="L602" s="603"/>
      <c r="M602" s="603"/>
      <c r="N602" s="603"/>
      <c r="O602" s="603"/>
      <c r="P602" s="603"/>
      <c r="Q602" s="595"/>
      <c r="R602" s="595"/>
      <c r="S602" s="595"/>
      <c r="T602" s="595"/>
      <c r="U602" s="595"/>
      <c r="V602" s="595"/>
      <c r="W602" s="594"/>
      <c r="X602" s="594"/>
      <c r="Y602" s="595"/>
      <c r="Z602" s="595"/>
      <c r="AA602" s="595"/>
      <c r="AB602" s="595"/>
      <c r="AC602" s="595"/>
    </row>
    <row r="603" spans="1:29" ht="12.75" customHeight="1">
      <c r="A603" s="601"/>
      <c r="B603" s="602"/>
      <c r="C603" s="602"/>
      <c r="D603" s="602"/>
      <c r="E603" s="602"/>
      <c r="F603" s="602"/>
      <c r="G603" s="602"/>
      <c r="H603" s="602"/>
      <c r="I603" s="602"/>
      <c r="J603" s="602"/>
      <c r="K603" s="602"/>
      <c r="L603" s="603"/>
      <c r="M603" s="603"/>
      <c r="N603" s="603"/>
      <c r="O603" s="603"/>
      <c r="P603" s="603"/>
      <c r="Q603" s="595"/>
      <c r="R603" s="595"/>
      <c r="S603" s="595"/>
      <c r="T603" s="595"/>
      <c r="U603" s="595"/>
      <c r="V603" s="595"/>
      <c r="W603" s="594"/>
      <c r="X603" s="594"/>
      <c r="Y603" s="595"/>
      <c r="Z603" s="595"/>
      <c r="AA603" s="595"/>
      <c r="AB603" s="595"/>
      <c r="AC603" s="595"/>
    </row>
    <row r="604" spans="1:29" ht="12.75" customHeight="1">
      <c r="A604" s="601"/>
      <c r="B604" s="602"/>
      <c r="C604" s="602"/>
      <c r="D604" s="602"/>
      <c r="E604" s="602"/>
      <c r="F604" s="602"/>
      <c r="G604" s="602"/>
      <c r="H604" s="602"/>
      <c r="I604" s="602"/>
      <c r="J604" s="602"/>
      <c r="K604" s="602"/>
      <c r="L604" s="603"/>
      <c r="M604" s="603"/>
      <c r="N604" s="603"/>
      <c r="O604" s="603"/>
      <c r="P604" s="603"/>
      <c r="Q604" s="595"/>
      <c r="R604" s="595"/>
      <c r="S604" s="595"/>
      <c r="T604" s="595"/>
      <c r="U604" s="595"/>
      <c r="V604" s="595"/>
      <c r="W604" s="594"/>
      <c r="X604" s="594"/>
      <c r="Y604" s="595"/>
      <c r="Z604" s="595"/>
      <c r="AA604" s="595"/>
      <c r="AB604" s="595"/>
      <c r="AC604" s="595"/>
    </row>
    <row r="605" spans="1:29" ht="12.75" customHeight="1">
      <c r="A605" s="601"/>
      <c r="B605" s="602"/>
      <c r="C605" s="602"/>
      <c r="D605" s="602"/>
      <c r="E605" s="602"/>
      <c r="F605" s="602"/>
      <c r="G605" s="602"/>
      <c r="H605" s="602"/>
      <c r="I605" s="602"/>
      <c r="J605" s="602"/>
      <c r="K605" s="602"/>
      <c r="L605" s="603"/>
      <c r="M605" s="603"/>
      <c r="N605" s="603"/>
      <c r="O605" s="603"/>
      <c r="P605" s="603"/>
      <c r="Q605" s="595"/>
      <c r="R605" s="595"/>
      <c r="S605" s="595"/>
      <c r="T605" s="595"/>
      <c r="U605" s="595"/>
      <c r="V605" s="595"/>
      <c r="W605" s="594"/>
      <c r="X605" s="594"/>
      <c r="Y605" s="595"/>
      <c r="Z605" s="595"/>
      <c r="AA605" s="595"/>
      <c r="AB605" s="595"/>
      <c r="AC605" s="595"/>
    </row>
    <row r="606" spans="1:29" ht="12.75" customHeight="1">
      <c r="A606" s="601"/>
      <c r="B606" s="602"/>
      <c r="C606" s="602"/>
      <c r="D606" s="602"/>
      <c r="E606" s="602"/>
      <c r="F606" s="602"/>
      <c r="G606" s="602"/>
      <c r="H606" s="602"/>
      <c r="I606" s="602"/>
      <c r="J606" s="602"/>
      <c r="K606" s="602"/>
      <c r="L606" s="603"/>
      <c r="M606" s="603"/>
      <c r="N606" s="603"/>
      <c r="O606" s="603"/>
      <c r="P606" s="603"/>
      <c r="Q606" s="595"/>
      <c r="R606" s="595"/>
      <c r="S606" s="595"/>
      <c r="T606" s="595"/>
      <c r="U606" s="595"/>
      <c r="V606" s="595"/>
      <c r="W606" s="594"/>
      <c r="X606" s="594"/>
      <c r="Y606" s="595"/>
      <c r="Z606" s="595"/>
      <c r="AA606" s="595"/>
      <c r="AB606" s="595"/>
      <c r="AC606" s="595"/>
    </row>
    <row r="607" spans="1:29" ht="12.75" customHeight="1">
      <c r="A607" s="601"/>
      <c r="B607" s="602"/>
      <c r="C607" s="602"/>
      <c r="D607" s="602"/>
      <c r="E607" s="602"/>
      <c r="F607" s="602"/>
      <c r="G607" s="602"/>
      <c r="H607" s="602"/>
      <c r="I607" s="602"/>
      <c r="J607" s="602"/>
      <c r="K607" s="602"/>
      <c r="L607" s="603"/>
      <c r="M607" s="603"/>
      <c r="N607" s="603"/>
      <c r="O607" s="603"/>
      <c r="P607" s="603"/>
      <c r="Q607" s="595"/>
      <c r="R607" s="595"/>
      <c r="S607" s="595"/>
      <c r="T607" s="595"/>
      <c r="U607" s="595"/>
      <c r="V607" s="595"/>
      <c r="W607" s="594"/>
      <c r="X607" s="594"/>
      <c r="Y607" s="595"/>
      <c r="Z607" s="595"/>
      <c r="AA607" s="595"/>
      <c r="AB607" s="595"/>
      <c r="AC607" s="595"/>
    </row>
    <row r="608" spans="1:29" ht="12.75" customHeight="1">
      <c r="A608" s="601"/>
      <c r="B608" s="602"/>
      <c r="C608" s="602"/>
      <c r="D608" s="602"/>
      <c r="E608" s="602"/>
      <c r="F608" s="602"/>
      <c r="G608" s="602"/>
      <c r="H608" s="602"/>
      <c r="I608" s="602"/>
      <c r="J608" s="602"/>
      <c r="K608" s="602"/>
      <c r="L608" s="603"/>
      <c r="M608" s="603"/>
      <c r="N608" s="603"/>
      <c r="O608" s="603"/>
      <c r="P608" s="603"/>
      <c r="Q608" s="595"/>
      <c r="R608" s="595"/>
      <c r="S608" s="595"/>
      <c r="T608" s="595"/>
      <c r="U608" s="595"/>
      <c r="V608" s="595"/>
      <c r="W608" s="594"/>
      <c r="X608" s="594"/>
      <c r="Y608" s="595"/>
      <c r="Z608" s="595"/>
      <c r="AA608" s="595"/>
      <c r="AB608" s="595"/>
      <c r="AC608" s="595"/>
    </row>
    <row r="609" spans="1:29" ht="12.75" customHeight="1">
      <c r="A609" s="601"/>
      <c r="B609" s="602"/>
      <c r="C609" s="602"/>
      <c r="D609" s="602"/>
      <c r="E609" s="602"/>
      <c r="F609" s="602"/>
      <c r="G609" s="602"/>
      <c r="H609" s="602"/>
      <c r="I609" s="602"/>
      <c r="J609" s="602"/>
      <c r="K609" s="602"/>
      <c r="L609" s="603"/>
      <c r="M609" s="603"/>
      <c r="N609" s="603"/>
      <c r="O609" s="603"/>
      <c r="P609" s="603"/>
      <c r="Q609" s="595"/>
      <c r="R609" s="595"/>
      <c r="S609" s="595"/>
      <c r="T609" s="595"/>
      <c r="U609" s="595"/>
      <c r="V609" s="595"/>
      <c r="W609" s="594"/>
      <c r="X609" s="594"/>
      <c r="Y609" s="595"/>
      <c r="Z609" s="595"/>
      <c r="AA609" s="595"/>
      <c r="AB609" s="595"/>
      <c r="AC609" s="595"/>
    </row>
    <row r="610" spans="1:29" ht="12.75" customHeight="1">
      <c r="A610" s="601"/>
      <c r="B610" s="602"/>
      <c r="C610" s="602"/>
      <c r="D610" s="602"/>
      <c r="E610" s="602"/>
      <c r="F610" s="602"/>
      <c r="G610" s="602"/>
      <c r="H610" s="602"/>
      <c r="I610" s="602"/>
      <c r="J610" s="602"/>
      <c r="K610" s="602"/>
      <c r="L610" s="603"/>
      <c r="M610" s="603"/>
      <c r="N610" s="603"/>
      <c r="O610" s="603"/>
      <c r="P610" s="603"/>
      <c r="Q610" s="595"/>
      <c r="R610" s="595"/>
      <c r="S610" s="595"/>
      <c r="T610" s="595"/>
      <c r="U610" s="595"/>
      <c r="V610" s="595"/>
      <c r="W610" s="594"/>
      <c r="X610" s="594"/>
      <c r="Y610" s="595"/>
      <c r="Z610" s="595"/>
      <c r="AA610" s="595"/>
      <c r="AB610" s="595"/>
      <c r="AC610" s="595"/>
    </row>
    <row r="611" spans="1:29" ht="12.75" customHeight="1">
      <c r="A611" s="601"/>
      <c r="B611" s="602"/>
      <c r="C611" s="602"/>
      <c r="D611" s="602"/>
      <c r="E611" s="602"/>
      <c r="F611" s="602"/>
      <c r="G611" s="602"/>
      <c r="H611" s="602"/>
      <c r="I611" s="602"/>
      <c r="J611" s="602"/>
      <c r="K611" s="602"/>
      <c r="L611" s="603"/>
      <c r="M611" s="603"/>
      <c r="N611" s="603"/>
      <c r="O611" s="603"/>
      <c r="P611" s="603"/>
      <c r="Q611" s="595"/>
      <c r="R611" s="595"/>
      <c r="S611" s="595"/>
      <c r="T611" s="595"/>
      <c r="U611" s="595"/>
      <c r="V611" s="595"/>
      <c r="W611" s="594"/>
      <c r="X611" s="594"/>
      <c r="Y611" s="595"/>
      <c r="Z611" s="595"/>
      <c r="AA611" s="595"/>
      <c r="AB611" s="595"/>
      <c r="AC611" s="595"/>
    </row>
    <row r="612" spans="1:29" ht="12.75" customHeight="1">
      <c r="A612" s="601"/>
      <c r="B612" s="602"/>
      <c r="C612" s="602"/>
      <c r="D612" s="602"/>
      <c r="E612" s="602"/>
      <c r="F612" s="602"/>
      <c r="G612" s="602"/>
      <c r="H612" s="602"/>
      <c r="I612" s="602"/>
      <c r="J612" s="602"/>
      <c r="K612" s="602"/>
      <c r="L612" s="603"/>
      <c r="M612" s="603"/>
      <c r="N612" s="603"/>
      <c r="O612" s="603"/>
      <c r="P612" s="603"/>
      <c r="Q612" s="595"/>
      <c r="R612" s="595"/>
      <c r="S612" s="595"/>
      <c r="T612" s="595"/>
      <c r="U612" s="595"/>
      <c r="V612" s="595"/>
      <c r="W612" s="594"/>
      <c r="X612" s="594"/>
      <c r="Y612" s="595"/>
      <c r="Z612" s="595"/>
      <c r="AA612" s="595"/>
      <c r="AB612" s="595"/>
      <c r="AC612" s="595"/>
    </row>
    <row r="613" spans="1:29" ht="12.75" customHeight="1">
      <c r="A613" s="601"/>
      <c r="B613" s="602"/>
      <c r="C613" s="602"/>
      <c r="D613" s="602"/>
      <c r="E613" s="602"/>
      <c r="F613" s="602"/>
      <c r="G613" s="602"/>
      <c r="H613" s="602"/>
      <c r="I613" s="602"/>
      <c r="J613" s="602"/>
      <c r="K613" s="602"/>
      <c r="L613" s="603"/>
      <c r="M613" s="603"/>
      <c r="N613" s="603"/>
      <c r="O613" s="603"/>
      <c r="P613" s="603"/>
      <c r="Q613" s="595"/>
      <c r="R613" s="595"/>
      <c r="S613" s="595"/>
      <c r="T613" s="595"/>
      <c r="U613" s="595"/>
      <c r="V613" s="595"/>
      <c r="W613" s="594"/>
      <c r="X613" s="594"/>
      <c r="Y613" s="595"/>
      <c r="Z613" s="595"/>
      <c r="AA613" s="595"/>
      <c r="AB613" s="595"/>
      <c r="AC613" s="595"/>
    </row>
    <row r="614" spans="1:29" ht="12.75" customHeight="1">
      <c r="A614" s="601"/>
      <c r="B614" s="602"/>
      <c r="C614" s="602"/>
      <c r="D614" s="602"/>
      <c r="E614" s="602"/>
      <c r="F614" s="602"/>
      <c r="G614" s="602"/>
      <c r="H614" s="602"/>
      <c r="I614" s="602"/>
      <c r="J614" s="602"/>
      <c r="K614" s="602"/>
      <c r="L614" s="603"/>
      <c r="M614" s="603"/>
      <c r="N614" s="603"/>
      <c r="O614" s="603"/>
      <c r="P614" s="603"/>
      <c r="Q614" s="595"/>
      <c r="R614" s="595"/>
      <c r="S614" s="595"/>
      <c r="T614" s="595"/>
      <c r="U614" s="595"/>
      <c r="V614" s="595"/>
      <c r="W614" s="594"/>
      <c r="X614" s="594"/>
      <c r="Y614" s="595"/>
      <c r="Z614" s="595"/>
      <c r="AA614" s="595"/>
      <c r="AB614" s="595"/>
      <c r="AC614" s="595"/>
    </row>
    <row r="615" spans="1:29" ht="12.75" customHeight="1">
      <c r="A615" s="601"/>
      <c r="B615" s="602"/>
      <c r="C615" s="602"/>
      <c r="D615" s="602"/>
      <c r="E615" s="602"/>
      <c r="F615" s="602"/>
      <c r="G615" s="602"/>
      <c r="H615" s="602"/>
      <c r="I615" s="602"/>
      <c r="J615" s="602"/>
      <c r="K615" s="602"/>
      <c r="L615" s="603"/>
      <c r="M615" s="603"/>
      <c r="N615" s="603"/>
      <c r="O615" s="603"/>
      <c r="P615" s="603"/>
      <c r="Q615" s="595"/>
      <c r="R615" s="595"/>
      <c r="S615" s="595"/>
      <c r="T615" s="595"/>
      <c r="U615" s="595"/>
      <c r="V615" s="595"/>
      <c r="W615" s="594"/>
      <c r="X615" s="594"/>
      <c r="Y615" s="595"/>
      <c r="Z615" s="595"/>
      <c r="AA615" s="595"/>
      <c r="AB615" s="595"/>
      <c r="AC615" s="595"/>
    </row>
    <row r="616" spans="1:29" ht="12.75" customHeight="1">
      <c r="A616" s="601"/>
      <c r="B616" s="602"/>
      <c r="C616" s="602"/>
      <c r="D616" s="602"/>
      <c r="E616" s="602"/>
      <c r="F616" s="602"/>
      <c r="G616" s="602"/>
      <c r="H616" s="602"/>
      <c r="I616" s="602"/>
      <c r="J616" s="602"/>
      <c r="K616" s="602"/>
      <c r="L616" s="603"/>
      <c r="M616" s="603"/>
      <c r="N616" s="603"/>
      <c r="O616" s="603"/>
      <c r="P616" s="603"/>
      <c r="Q616" s="595"/>
      <c r="R616" s="595"/>
      <c r="S616" s="595"/>
      <c r="T616" s="595"/>
      <c r="U616" s="595"/>
      <c r="V616" s="595"/>
      <c r="W616" s="594"/>
      <c r="X616" s="594"/>
      <c r="Y616" s="595"/>
      <c r="Z616" s="595"/>
      <c r="AA616" s="595"/>
      <c r="AB616" s="595"/>
      <c r="AC616" s="595"/>
    </row>
    <row r="617" spans="1:29" ht="12.75" customHeight="1">
      <c r="A617" s="601"/>
      <c r="B617" s="602"/>
      <c r="C617" s="602"/>
      <c r="D617" s="602"/>
      <c r="E617" s="602"/>
      <c r="F617" s="602"/>
      <c r="G617" s="602"/>
      <c r="H617" s="602"/>
      <c r="I617" s="602"/>
      <c r="J617" s="602"/>
      <c r="K617" s="602"/>
      <c r="L617" s="603"/>
      <c r="M617" s="603"/>
      <c r="N617" s="603"/>
      <c r="O617" s="603"/>
      <c r="P617" s="603"/>
      <c r="Q617" s="595"/>
      <c r="R617" s="595"/>
      <c r="S617" s="595"/>
      <c r="T617" s="595"/>
      <c r="U617" s="595"/>
      <c r="V617" s="595"/>
      <c r="W617" s="594"/>
      <c r="X617" s="594"/>
      <c r="Y617" s="595"/>
      <c r="Z617" s="595"/>
      <c r="AA617" s="595"/>
      <c r="AB617" s="595"/>
      <c r="AC617" s="595"/>
    </row>
    <row r="618" spans="1:29" ht="12.75" customHeight="1">
      <c r="A618" s="601"/>
      <c r="B618" s="602"/>
      <c r="C618" s="602"/>
      <c r="D618" s="602"/>
      <c r="E618" s="602"/>
      <c r="F618" s="602"/>
      <c r="G618" s="602"/>
      <c r="H618" s="602"/>
      <c r="I618" s="602"/>
      <c r="J618" s="602"/>
      <c r="K618" s="602"/>
      <c r="L618" s="603"/>
      <c r="M618" s="603"/>
      <c r="N618" s="603"/>
      <c r="O618" s="603"/>
      <c r="P618" s="603"/>
      <c r="Q618" s="595"/>
      <c r="R618" s="595"/>
      <c r="S618" s="595"/>
      <c r="T618" s="595"/>
      <c r="U618" s="595"/>
      <c r="V618" s="595"/>
      <c r="W618" s="594"/>
      <c r="X618" s="594"/>
      <c r="Y618" s="595"/>
      <c r="Z618" s="595"/>
      <c r="AA618" s="595"/>
      <c r="AB618" s="595"/>
      <c r="AC618" s="595"/>
    </row>
    <row r="619" spans="1:29" ht="12.75" customHeight="1">
      <c r="A619" s="601"/>
      <c r="B619" s="602"/>
      <c r="C619" s="602"/>
      <c r="D619" s="602"/>
      <c r="E619" s="602"/>
      <c r="F619" s="602"/>
      <c r="G619" s="602"/>
      <c r="H619" s="602"/>
      <c r="I619" s="602"/>
      <c r="J619" s="602"/>
      <c r="K619" s="602"/>
      <c r="L619" s="603"/>
      <c r="M619" s="603"/>
      <c r="N619" s="603"/>
      <c r="O619" s="603"/>
      <c r="P619" s="603"/>
      <c r="Q619" s="595"/>
      <c r="R619" s="595"/>
      <c r="S619" s="595"/>
      <c r="T619" s="595"/>
      <c r="U619" s="595"/>
      <c r="V619" s="595"/>
      <c r="W619" s="594"/>
      <c r="X619" s="594"/>
      <c r="Y619" s="595"/>
      <c r="Z619" s="595"/>
      <c r="AA619" s="595"/>
      <c r="AB619" s="595"/>
      <c r="AC619" s="595"/>
    </row>
    <row r="620" spans="1:29" ht="12.75" customHeight="1">
      <c r="A620" s="601"/>
      <c r="B620" s="602"/>
      <c r="C620" s="602"/>
      <c r="D620" s="602"/>
      <c r="E620" s="602"/>
      <c r="F620" s="602"/>
      <c r="G620" s="602"/>
      <c r="H620" s="602"/>
      <c r="I620" s="602"/>
      <c r="J620" s="602"/>
      <c r="K620" s="602"/>
      <c r="L620" s="603"/>
      <c r="M620" s="603"/>
      <c r="N620" s="603"/>
      <c r="O620" s="603"/>
      <c r="P620" s="603"/>
      <c r="Q620" s="595"/>
      <c r="R620" s="595"/>
      <c r="S620" s="595"/>
      <c r="T620" s="595"/>
      <c r="U620" s="595"/>
      <c r="V620" s="595"/>
      <c r="W620" s="594"/>
      <c r="X620" s="594"/>
      <c r="Y620" s="595"/>
      <c r="Z620" s="595"/>
      <c r="AA620" s="595"/>
      <c r="AB620" s="595"/>
      <c r="AC620" s="595"/>
    </row>
    <row r="621" spans="1:29" ht="12.75" customHeight="1">
      <c r="A621" s="601"/>
      <c r="B621" s="602"/>
      <c r="C621" s="602"/>
      <c r="D621" s="602"/>
      <c r="E621" s="602"/>
      <c r="F621" s="602"/>
      <c r="G621" s="602"/>
      <c r="H621" s="602"/>
      <c r="I621" s="602"/>
      <c r="J621" s="602"/>
      <c r="K621" s="602"/>
      <c r="L621" s="603"/>
      <c r="M621" s="603"/>
      <c r="N621" s="603"/>
      <c r="O621" s="603"/>
      <c r="P621" s="603"/>
      <c r="Q621" s="595"/>
      <c r="R621" s="595"/>
      <c r="S621" s="595"/>
      <c r="T621" s="595"/>
      <c r="U621" s="595"/>
      <c r="V621" s="595"/>
      <c r="W621" s="594"/>
      <c r="X621" s="594"/>
      <c r="Y621" s="595"/>
      <c r="Z621" s="595"/>
      <c r="AA621" s="595"/>
      <c r="AB621" s="595"/>
      <c r="AC621" s="595"/>
    </row>
    <row r="622" spans="1:29" ht="12.75" customHeight="1">
      <c r="A622" s="601"/>
      <c r="B622" s="602"/>
      <c r="C622" s="602"/>
      <c r="D622" s="602"/>
      <c r="E622" s="602"/>
      <c r="F622" s="602"/>
      <c r="G622" s="602"/>
      <c r="H622" s="602"/>
      <c r="I622" s="602"/>
      <c r="J622" s="602"/>
      <c r="K622" s="602"/>
      <c r="L622" s="603"/>
      <c r="M622" s="603"/>
      <c r="N622" s="603"/>
      <c r="O622" s="603"/>
      <c r="P622" s="603"/>
      <c r="Q622" s="595"/>
      <c r="R622" s="595"/>
      <c r="S622" s="595"/>
      <c r="T622" s="595"/>
      <c r="U622" s="595"/>
      <c r="V622" s="595"/>
      <c r="W622" s="594"/>
      <c r="X622" s="594"/>
      <c r="Y622" s="595"/>
      <c r="Z622" s="595"/>
      <c r="AA622" s="595"/>
      <c r="AB622" s="595"/>
      <c r="AC622" s="595"/>
    </row>
    <row r="623" spans="1:29" ht="12.75" customHeight="1">
      <c r="A623" s="601"/>
      <c r="B623" s="602"/>
      <c r="C623" s="602"/>
      <c r="D623" s="602"/>
      <c r="E623" s="602"/>
      <c r="F623" s="602"/>
      <c r="G623" s="602"/>
      <c r="H623" s="602"/>
      <c r="I623" s="602"/>
      <c r="J623" s="602"/>
      <c r="K623" s="602"/>
      <c r="L623" s="603"/>
      <c r="M623" s="603"/>
      <c r="N623" s="603"/>
      <c r="O623" s="603"/>
      <c r="P623" s="603"/>
      <c r="Q623" s="595"/>
      <c r="R623" s="595"/>
      <c r="S623" s="595"/>
      <c r="T623" s="595"/>
      <c r="U623" s="595"/>
      <c r="V623" s="595"/>
      <c r="W623" s="594"/>
      <c r="X623" s="594"/>
      <c r="Y623" s="595"/>
      <c r="Z623" s="595"/>
      <c r="AA623" s="595"/>
      <c r="AB623" s="595"/>
      <c r="AC623" s="595"/>
    </row>
    <row r="624" spans="1:29" ht="12.75" customHeight="1">
      <c r="A624" s="601"/>
      <c r="B624" s="602"/>
      <c r="C624" s="602"/>
      <c r="D624" s="602"/>
      <c r="E624" s="602"/>
      <c r="F624" s="602"/>
      <c r="G624" s="602"/>
      <c r="H624" s="602"/>
      <c r="I624" s="602"/>
      <c r="J624" s="602"/>
      <c r="K624" s="602"/>
      <c r="L624" s="603"/>
      <c r="M624" s="603"/>
      <c r="N624" s="603"/>
      <c r="O624" s="603"/>
      <c r="P624" s="603"/>
      <c r="Q624" s="595"/>
      <c r="R624" s="595"/>
      <c r="S624" s="595"/>
      <c r="T624" s="595"/>
      <c r="U624" s="595"/>
      <c r="V624" s="595"/>
      <c r="W624" s="594"/>
      <c r="X624" s="594"/>
      <c r="Y624" s="595"/>
      <c r="Z624" s="595"/>
      <c r="AA624" s="595"/>
      <c r="AB624" s="595"/>
      <c r="AC624" s="595"/>
    </row>
    <row r="625" spans="1:29" ht="12.75" customHeight="1">
      <c r="A625" s="601"/>
      <c r="B625" s="602"/>
      <c r="C625" s="602"/>
      <c r="D625" s="602"/>
      <c r="E625" s="602"/>
      <c r="F625" s="602"/>
      <c r="G625" s="602"/>
      <c r="H625" s="602"/>
      <c r="I625" s="602"/>
      <c r="J625" s="602"/>
      <c r="K625" s="602"/>
      <c r="L625" s="603"/>
      <c r="M625" s="603"/>
      <c r="N625" s="603"/>
      <c r="O625" s="603"/>
      <c r="P625" s="603"/>
      <c r="Q625" s="595"/>
      <c r="R625" s="595"/>
      <c r="S625" s="595"/>
      <c r="T625" s="595"/>
      <c r="U625" s="595"/>
      <c r="V625" s="595"/>
      <c r="W625" s="594"/>
      <c r="X625" s="594"/>
      <c r="Y625" s="595"/>
      <c r="Z625" s="595"/>
      <c r="AA625" s="595"/>
      <c r="AB625" s="595"/>
      <c r="AC625" s="595"/>
    </row>
    <row r="626" spans="1:29" ht="12.75" customHeight="1">
      <c r="A626" s="601"/>
      <c r="B626" s="602"/>
      <c r="C626" s="602"/>
      <c r="D626" s="602"/>
      <c r="E626" s="602"/>
      <c r="F626" s="602"/>
      <c r="G626" s="602"/>
      <c r="H626" s="602"/>
      <c r="I626" s="602"/>
      <c r="J626" s="602"/>
      <c r="K626" s="602"/>
      <c r="L626" s="603"/>
      <c r="M626" s="603"/>
      <c r="N626" s="603"/>
      <c r="O626" s="603"/>
      <c r="P626" s="603"/>
      <c r="Q626" s="595"/>
      <c r="R626" s="595"/>
      <c r="S626" s="595"/>
      <c r="T626" s="595"/>
      <c r="U626" s="595"/>
      <c r="V626" s="595"/>
      <c r="W626" s="594"/>
      <c r="X626" s="594"/>
      <c r="Y626" s="595"/>
      <c r="Z626" s="595"/>
      <c r="AA626" s="595"/>
      <c r="AB626" s="595"/>
      <c r="AC626" s="595"/>
    </row>
    <row r="627" spans="1:29" ht="12.75" customHeight="1">
      <c r="A627" s="601"/>
      <c r="B627" s="602"/>
      <c r="C627" s="602"/>
      <c r="D627" s="602"/>
      <c r="E627" s="602"/>
      <c r="F627" s="602"/>
      <c r="G627" s="602"/>
      <c r="H627" s="602"/>
      <c r="I627" s="602"/>
      <c r="J627" s="602"/>
      <c r="K627" s="602"/>
      <c r="L627" s="603"/>
      <c r="M627" s="603"/>
      <c r="N627" s="603"/>
      <c r="O627" s="603"/>
      <c r="P627" s="603"/>
      <c r="Q627" s="595"/>
      <c r="R627" s="595"/>
      <c r="S627" s="595"/>
      <c r="T627" s="595"/>
      <c r="U627" s="595"/>
      <c r="V627" s="595"/>
      <c r="W627" s="594"/>
      <c r="X627" s="594"/>
      <c r="Y627" s="595"/>
      <c r="Z627" s="595"/>
      <c r="AA627" s="595"/>
      <c r="AB627" s="595"/>
      <c r="AC627" s="595"/>
    </row>
    <row r="628" spans="1:29" ht="12.75" customHeight="1">
      <c r="A628" s="601"/>
      <c r="B628" s="602"/>
      <c r="C628" s="602"/>
      <c r="D628" s="602"/>
      <c r="E628" s="602"/>
      <c r="F628" s="602"/>
      <c r="G628" s="602"/>
      <c r="H628" s="602"/>
      <c r="I628" s="602"/>
      <c r="J628" s="602"/>
      <c r="K628" s="602"/>
      <c r="L628" s="603"/>
      <c r="M628" s="603"/>
      <c r="N628" s="603"/>
      <c r="O628" s="603"/>
      <c r="P628" s="603"/>
      <c r="Q628" s="595"/>
      <c r="R628" s="595"/>
      <c r="S628" s="595"/>
      <c r="T628" s="595"/>
      <c r="U628" s="595"/>
      <c r="V628" s="595"/>
      <c r="W628" s="594"/>
      <c r="X628" s="594"/>
      <c r="Y628" s="595"/>
      <c r="Z628" s="595"/>
      <c r="AA628" s="595"/>
      <c r="AB628" s="595"/>
      <c r="AC628" s="595"/>
    </row>
    <row r="629" spans="1:29" ht="12.75" customHeight="1">
      <c r="A629" s="601"/>
      <c r="B629" s="602"/>
      <c r="C629" s="602"/>
      <c r="D629" s="602"/>
      <c r="E629" s="602"/>
      <c r="F629" s="602"/>
      <c r="G629" s="602"/>
      <c r="H629" s="602"/>
      <c r="I629" s="602"/>
      <c r="J629" s="602"/>
      <c r="K629" s="602"/>
      <c r="L629" s="603"/>
      <c r="M629" s="603"/>
      <c r="N629" s="603"/>
      <c r="O629" s="603"/>
      <c r="P629" s="603"/>
      <c r="Q629" s="595"/>
      <c r="R629" s="595"/>
      <c r="S629" s="595"/>
      <c r="T629" s="595"/>
      <c r="U629" s="595"/>
      <c r="V629" s="595"/>
      <c r="W629" s="594"/>
      <c r="X629" s="594"/>
      <c r="Y629" s="595"/>
      <c r="Z629" s="595"/>
      <c r="AA629" s="595"/>
      <c r="AB629" s="595"/>
      <c r="AC629" s="595"/>
    </row>
    <row r="630" spans="1:29" ht="12.75" customHeight="1">
      <c r="A630" s="601"/>
      <c r="B630" s="602"/>
      <c r="C630" s="602"/>
      <c r="D630" s="602"/>
      <c r="E630" s="602"/>
      <c r="F630" s="602"/>
      <c r="G630" s="602"/>
      <c r="H630" s="602"/>
      <c r="I630" s="602"/>
      <c r="J630" s="602"/>
      <c r="K630" s="602"/>
      <c r="L630" s="603"/>
      <c r="M630" s="603"/>
      <c r="N630" s="603"/>
      <c r="O630" s="603"/>
      <c r="P630" s="603"/>
      <c r="Q630" s="595"/>
      <c r="R630" s="595"/>
      <c r="S630" s="595"/>
      <c r="T630" s="595"/>
      <c r="U630" s="595"/>
      <c r="V630" s="595"/>
      <c r="W630" s="594"/>
      <c r="X630" s="594"/>
      <c r="Y630" s="595"/>
      <c r="Z630" s="595"/>
      <c r="AA630" s="595"/>
      <c r="AB630" s="595"/>
      <c r="AC630" s="595"/>
    </row>
    <row r="631" spans="1:29" ht="12.75" customHeight="1">
      <c r="A631" s="601"/>
      <c r="B631" s="602"/>
      <c r="C631" s="602"/>
      <c r="D631" s="602"/>
      <c r="E631" s="602"/>
      <c r="F631" s="602"/>
      <c r="G631" s="602"/>
      <c r="H631" s="602"/>
      <c r="I631" s="602"/>
      <c r="J631" s="602"/>
      <c r="K631" s="602"/>
      <c r="L631" s="603"/>
      <c r="M631" s="603"/>
      <c r="N631" s="603"/>
      <c r="O631" s="603"/>
      <c r="P631" s="603"/>
      <c r="Q631" s="595"/>
      <c r="R631" s="595"/>
      <c r="S631" s="595"/>
      <c r="T631" s="595"/>
      <c r="U631" s="595"/>
      <c r="V631" s="595"/>
      <c r="W631" s="594"/>
      <c r="X631" s="594"/>
      <c r="Y631" s="595"/>
      <c r="Z631" s="595"/>
      <c r="AA631" s="595"/>
      <c r="AB631" s="595"/>
      <c r="AC631" s="595"/>
    </row>
    <row r="632" spans="1:29" ht="12.75" customHeight="1">
      <c r="A632" s="601"/>
      <c r="B632" s="602"/>
      <c r="C632" s="602"/>
      <c r="D632" s="602"/>
      <c r="E632" s="602"/>
      <c r="F632" s="602"/>
      <c r="G632" s="602"/>
      <c r="H632" s="602"/>
      <c r="I632" s="602"/>
      <c r="J632" s="602"/>
      <c r="K632" s="602"/>
      <c r="L632" s="603"/>
      <c r="M632" s="603"/>
      <c r="N632" s="603"/>
      <c r="O632" s="603"/>
      <c r="P632" s="603"/>
      <c r="Q632" s="595"/>
      <c r="R632" s="595"/>
      <c r="S632" s="595"/>
      <c r="T632" s="595"/>
      <c r="U632" s="595"/>
      <c r="V632" s="595"/>
      <c r="W632" s="594"/>
      <c r="X632" s="594"/>
      <c r="Y632" s="595"/>
      <c r="Z632" s="595"/>
      <c r="AA632" s="595"/>
      <c r="AB632" s="595"/>
      <c r="AC632" s="595"/>
    </row>
    <row r="633" spans="1:29" ht="12.75" customHeight="1">
      <c r="A633" s="601"/>
      <c r="B633" s="602"/>
      <c r="C633" s="602"/>
      <c r="D633" s="602"/>
      <c r="E633" s="602"/>
      <c r="F633" s="602"/>
      <c r="G633" s="602"/>
      <c r="H633" s="602"/>
      <c r="I633" s="602"/>
      <c r="J633" s="602"/>
      <c r="K633" s="602"/>
      <c r="L633" s="603"/>
      <c r="M633" s="603"/>
      <c r="N633" s="603"/>
      <c r="O633" s="603"/>
      <c r="P633" s="603"/>
      <c r="Q633" s="595"/>
      <c r="R633" s="595"/>
      <c r="S633" s="595"/>
      <c r="T633" s="595"/>
      <c r="U633" s="595"/>
      <c r="V633" s="595"/>
      <c r="W633" s="594"/>
      <c r="X633" s="594"/>
      <c r="Y633" s="595"/>
      <c r="Z633" s="595"/>
      <c r="AA633" s="595"/>
      <c r="AB633" s="595"/>
      <c r="AC633" s="595"/>
    </row>
    <row r="634" spans="1:29" ht="12.75" customHeight="1">
      <c r="A634" s="601"/>
      <c r="B634" s="602"/>
      <c r="C634" s="602"/>
      <c r="D634" s="602"/>
      <c r="E634" s="602"/>
      <c r="F634" s="602"/>
      <c r="G634" s="602"/>
      <c r="H634" s="602"/>
      <c r="I634" s="602"/>
      <c r="J634" s="602"/>
      <c r="K634" s="602"/>
      <c r="L634" s="603"/>
      <c r="M634" s="603"/>
      <c r="N634" s="603"/>
      <c r="O634" s="603"/>
      <c r="P634" s="603"/>
      <c r="Q634" s="595"/>
      <c r="R634" s="595"/>
      <c r="S634" s="595"/>
      <c r="T634" s="595"/>
      <c r="U634" s="595"/>
      <c r="V634" s="595"/>
      <c r="W634" s="594"/>
      <c r="X634" s="594"/>
      <c r="Y634" s="595"/>
      <c r="Z634" s="595"/>
      <c r="AA634" s="595"/>
      <c r="AB634" s="595"/>
      <c r="AC634" s="595"/>
    </row>
    <row r="635" spans="1:29" ht="12.75" customHeight="1">
      <c r="A635" s="601"/>
      <c r="B635" s="602"/>
      <c r="C635" s="602"/>
      <c r="D635" s="602"/>
      <c r="E635" s="602"/>
      <c r="F635" s="602"/>
      <c r="G635" s="602"/>
      <c r="H635" s="602"/>
      <c r="I635" s="602"/>
      <c r="J635" s="602"/>
      <c r="K635" s="602"/>
      <c r="L635" s="603"/>
      <c r="M635" s="603"/>
      <c r="N635" s="603"/>
      <c r="O635" s="603"/>
      <c r="P635" s="603"/>
      <c r="Q635" s="595"/>
      <c r="R635" s="595"/>
      <c r="S635" s="595"/>
      <c r="T635" s="595"/>
      <c r="U635" s="595"/>
      <c r="V635" s="595"/>
      <c r="W635" s="594"/>
      <c r="X635" s="594"/>
      <c r="Y635" s="595"/>
      <c r="Z635" s="595"/>
      <c r="AA635" s="595"/>
      <c r="AB635" s="595"/>
      <c r="AC635" s="595"/>
    </row>
    <row r="636" spans="1:29" ht="12.75" customHeight="1">
      <c r="A636" s="601"/>
      <c r="B636" s="602"/>
      <c r="C636" s="602"/>
      <c r="D636" s="602"/>
      <c r="E636" s="602"/>
      <c r="F636" s="602"/>
      <c r="G636" s="602"/>
      <c r="H636" s="602"/>
      <c r="I636" s="602"/>
      <c r="J636" s="602"/>
      <c r="K636" s="602"/>
      <c r="L636" s="603"/>
      <c r="M636" s="603"/>
      <c r="N636" s="603"/>
      <c r="O636" s="603"/>
      <c r="P636" s="603"/>
      <c r="Q636" s="595"/>
      <c r="R636" s="595"/>
      <c r="S636" s="595"/>
      <c r="T636" s="595"/>
      <c r="U636" s="595"/>
      <c r="V636" s="595"/>
      <c r="W636" s="594"/>
      <c r="X636" s="594"/>
      <c r="Y636" s="595"/>
      <c r="Z636" s="595"/>
      <c r="AA636" s="595"/>
      <c r="AB636" s="595"/>
      <c r="AC636" s="595"/>
    </row>
    <row r="637" spans="1:29" ht="12.75" customHeight="1">
      <c r="A637" s="601"/>
      <c r="B637" s="602"/>
      <c r="C637" s="602"/>
      <c r="D637" s="602"/>
      <c r="E637" s="602"/>
      <c r="F637" s="602"/>
      <c r="G637" s="602"/>
      <c r="H637" s="602"/>
      <c r="I637" s="602"/>
      <c r="J637" s="602"/>
      <c r="K637" s="602"/>
      <c r="L637" s="603"/>
      <c r="M637" s="603"/>
      <c r="N637" s="603"/>
      <c r="O637" s="603"/>
      <c r="P637" s="603"/>
      <c r="Q637" s="595"/>
      <c r="R637" s="595"/>
      <c r="S637" s="595"/>
      <c r="T637" s="595"/>
      <c r="U637" s="595"/>
      <c r="V637" s="595"/>
      <c r="W637" s="594"/>
      <c r="X637" s="594"/>
      <c r="Y637" s="595"/>
      <c r="Z637" s="595"/>
      <c r="AA637" s="595"/>
      <c r="AB637" s="595"/>
      <c r="AC637" s="595"/>
    </row>
    <row r="638" spans="1:29" ht="12.75" customHeight="1">
      <c r="A638" s="601"/>
      <c r="B638" s="602"/>
      <c r="C638" s="602"/>
      <c r="D638" s="602"/>
      <c r="E638" s="602"/>
      <c r="F638" s="602"/>
      <c r="G638" s="602"/>
      <c r="H638" s="602"/>
      <c r="I638" s="602"/>
      <c r="J638" s="602"/>
      <c r="K638" s="602"/>
      <c r="L638" s="603"/>
      <c r="M638" s="603"/>
      <c r="N638" s="603"/>
      <c r="O638" s="603"/>
      <c r="P638" s="603"/>
      <c r="Q638" s="595"/>
      <c r="R638" s="595"/>
      <c r="S638" s="595"/>
      <c r="T638" s="595"/>
      <c r="U638" s="595"/>
      <c r="V638" s="595"/>
      <c r="W638" s="594"/>
      <c r="X638" s="594"/>
      <c r="Y638" s="595"/>
      <c r="Z638" s="595"/>
      <c r="AA638" s="595"/>
      <c r="AB638" s="595"/>
      <c r="AC638" s="595"/>
    </row>
    <row r="639" spans="1:29" ht="12.75" customHeight="1">
      <c r="A639" s="601"/>
      <c r="B639" s="602"/>
      <c r="C639" s="602"/>
      <c r="D639" s="602"/>
      <c r="E639" s="602"/>
      <c r="F639" s="602"/>
      <c r="G639" s="602"/>
      <c r="H639" s="602"/>
      <c r="I639" s="602"/>
      <c r="J639" s="602"/>
      <c r="K639" s="602"/>
      <c r="L639" s="603"/>
      <c r="M639" s="603"/>
      <c r="N639" s="603"/>
      <c r="O639" s="603"/>
      <c r="P639" s="603"/>
      <c r="Q639" s="595"/>
      <c r="R639" s="595"/>
      <c r="S639" s="595"/>
      <c r="T639" s="595"/>
      <c r="U639" s="595"/>
      <c r="V639" s="595"/>
      <c r="W639" s="594"/>
      <c r="X639" s="594"/>
      <c r="Y639" s="595"/>
      <c r="Z639" s="595"/>
      <c r="AA639" s="595"/>
      <c r="AB639" s="595"/>
      <c r="AC639" s="595"/>
    </row>
    <row r="640" spans="1:29" ht="12.75" customHeight="1">
      <c r="A640" s="601"/>
      <c r="B640" s="602"/>
      <c r="C640" s="602"/>
      <c r="D640" s="602"/>
      <c r="E640" s="602"/>
      <c r="F640" s="602"/>
      <c r="G640" s="602"/>
      <c r="H640" s="602"/>
      <c r="I640" s="602"/>
      <c r="J640" s="602"/>
      <c r="K640" s="602"/>
      <c r="L640" s="603"/>
      <c r="M640" s="603"/>
      <c r="N640" s="603"/>
      <c r="O640" s="603"/>
      <c r="P640" s="603"/>
      <c r="Q640" s="595"/>
      <c r="R640" s="595"/>
      <c r="S640" s="595"/>
      <c r="T640" s="595"/>
      <c r="U640" s="595"/>
      <c r="V640" s="595"/>
      <c r="W640" s="594"/>
      <c r="X640" s="594"/>
      <c r="Y640" s="595"/>
      <c r="Z640" s="595"/>
      <c r="AA640" s="595"/>
      <c r="AB640" s="595"/>
      <c r="AC640" s="595"/>
    </row>
    <row r="641" spans="1:29" ht="12.75" customHeight="1">
      <c r="A641" s="601"/>
      <c r="B641" s="602"/>
      <c r="C641" s="602"/>
      <c r="D641" s="602"/>
      <c r="E641" s="602"/>
      <c r="F641" s="602"/>
      <c r="G641" s="602"/>
      <c r="H641" s="602"/>
      <c r="I641" s="602"/>
      <c r="J641" s="602"/>
      <c r="K641" s="602"/>
      <c r="L641" s="603"/>
      <c r="M641" s="603"/>
      <c r="N641" s="603"/>
      <c r="O641" s="603"/>
      <c r="P641" s="603"/>
      <c r="Q641" s="595"/>
      <c r="R641" s="595"/>
      <c r="S641" s="595"/>
      <c r="T641" s="595"/>
      <c r="U641" s="595"/>
      <c r="V641" s="595"/>
      <c r="W641" s="594"/>
      <c r="X641" s="594"/>
      <c r="Y641" s="595"/>
      <c r="Z641" s="595"/>
      <c r="AA641" s="595"/>
      <c r="AB641" s="595"/>
      <c r="AC641" s="595"/>
    </row>
    <row r="642" spans="1:29" ht="12.75" customHeight="1">
      <c r="A642" s="601"/>
      <c r="B642" s="602"/>
      <c r="C642" s="602"/>
      <c r="D642" s="602"/>
      <c r="E642" s="602"/>
      <c r="F642" s="602"/>
      <c r="G642" s="602"/>
      <c r="H642" s="602"/>
      <c r="I642" s="602"/>
      <c r="J642" s="602"/>
      <c r="K642" s="602"/>
      <c r="L642" s="603"/>
      <c r="M642" s="603"/>
      <c r="N642" s="603"/>
      <c r="O642" s="603"/>
      <c r="P642" s="603"/>
      <c r="Q642" s="595"/>
      <c r="R642" s="595"/>
      <c r="S642" s="595"/>
      <c r="T642" s="595"/>
      <c r="U642" s="595"/>
      <c r="V642" s="595"/>
      <c r="W642" s="594"/>
      <c r="X642" s="594"/>
      <c r="Y642" s="595"/>
      <c r="Z642" s="595"/>
      <c r="AA642" s="595"/>
      <c r="AB642" s="595"/>
      <c r="AC642" s="595"/>
    </row>
    <row r="643" spans="1:29" ht="12.75" customHeight="1">
      <c r="A643" s="601"/>
      <c r="B643" s="602"/>
      <c r="C643" s="602"/>
      <c r="D643" s="602"/>
      <c r="E643" s="602"/>
      <c r="F643" s="602"/>
      <c r="G643" s="602"/>
      <c r="H643" s="602"/>
      <c r="I643" s="602"/>
      <c r="J643" s="602"/>
      <c r="K643" s="602"/>
      <c r="L643" s="603"/>
      <c r="M643" s="603"/>
      <c r="N643" s="603"/>
      <c r="O643" s="603"/>
      <c r="P643" s="603"/>
      <c r="Q643" s="595"/>
      <c r="R643" s="595"/>
      <c r="S643" s="595"/>
      <c r="T643" s="595"/>
      <c r="U643" s="595"/>
      <c r="V643" s="595"/>
      <c r="W643" s="594"/>
      <c r="X643" s="594"/>
      <c r="Y643" s="595"/>
      <c r="Z643" s="595"/>
      <c r="AA643" s="595"/>
      <c r="AB643" s="595"/>
      <c r="AC643" s="595"/>
    </row>
    <row r="644" spans="1:29" ht="12.75" customHeight="1">
      <c r="A644" s="601"/>
      <c r="B644" s="602"/>
      <c r="C644" s="602"/>
      <c r="D644" s="602"/>
      <c r="E644" s="602"/>
      <c r="F644" s="602"/>
      <c r="G644" s="602"/>
      <c r="H644" s="602"/>
      <c r="I644" s="602"/>
      <c r="J644" s="602"/>
      <c r="K644" s="602"/>
      <c r="L644" s="603"/>
      <c r="M644" s="603"/>
      <c r="N644" s="603"/>
      <c r="O644" s="603"/>
      <c r="P644" s="603"/>
      <c r="Q644" s="595"/>
      <c r="R644" s="595"/>
      <c r="S644" s="595"/>
      <c r="T644" s="595"/>
      <c r="U644" s="595"/>
      <c r="V644" s="595"/>
      <c r="W644" s="594"/>
      <c r="X644" s="594"/>
      <c r="Y644" s="595"/>
      <c r="Z644" s="595"/>
      <c r="AA644" s="595"/>
      <c r="AB644" s="595"/>
      <c r="AC644" s="595"/>
    </row>
    <row r="645" spans="1:29" ht="12.75" customHeight="1">
      <c r="A645" s="601"/>
      <c r="B645" s="602"/>
      <c r="C645" s="602"/>
      <c r="D645" s="602"/>
      <c r="E645" s="602"/>
      <c r="F645" s="602"/>
      <c r="G645" s="602"/>
      <c r="H645" s="602"/>
      <c r="I645" s="602"/>
      <c r="J645" s="602"/>
      <c r="K645" s="602"/>
      <c r="L645" s="603"/>
      <c r="M645" s="603"/>
      <c r="N645" s="603"/>
      <c r="O645" s="603"/>
      <c r="P645" s="603"/>
      <c r="Q645" s="595"/>
      <c r="R645" s="595"/>
      <c r="S645" s="595"/>
      <c r="T645" s="595"/>
      <c r="U645" s="595"/>
      <c r="V645" s="595"/>
      <c r="W645" s="594"/>
      <c r="X645" s="594"/>
      <c r="Y645" s="595"/>
      <c r="Z645" s="595"/>
      <c r="AA645" s="595"/>
      <c r="AB645" s="595"/>
      <c r="AC645" s="595"/>
    </row>
    <row r="646" spans="1:29" ht="12.75" customHeight="1">
      <c r="A646" s="601"/>
      <c r="B646" s="602"/>
      <c r="C646" s="602"/>
      <c r="D646" s="602"/>
      <c r="E646" s="602"/>
      <c r="F646" s="602"/>
      <c r="G646" s="602"/>
      <c r="H646" s="602"/>
      <c r="I646" s="602"/>
      <c r="J646" s="602"/>
      <c r="K646" s="602"/>
      <c r="L646" s="603"/>
      <c r="M646" s="603"/>
      <c r="N646" s="603"/>
      <c r="O646" s="603"/>
      <c r="P646" s="603"/>
      <c r="Q646" s="595"/>
      <c r="R646" s="595"/>
      <c r="S646" s="595"/>
      <c r="T646" s="595"/>
      <c r="U646" s="595"/>
      <c r="V646" s="595"/>
      <c r="W646" s="594"/>
      <c r="X646" s="594"/>
      <c r="Y646" s="595"/>
      <c r="Z646" s="595"/>
      <c r="AA646" s="595"/>
      <c r="AB646" s="595"/>
      <c r="AC646" s="595"/>
    </row>
    <row r="647" spans="1:29" ht="12.75" customHeight="1">
      <c r="A647" s="601"/>
      <c r="B647" s="602"/>
      <c r="C647" s="602"/>
      <c r="D647" s="602"/>
      <c r="E647" s="602"/>
      <c r="F647" s="602"/>
      <c r="G647" s="602"/>
      <c r="H647" s="602"/>
      <c r="I647" s="602"/>
      <c r="J647" s="602"/>
      <c r="K647" s="602"/>
      <c r="L647" s="603"/>
      <c r="M647" s="603"/>
      <c r="N647" s="603"/>
      <c r="O647" s="603"/>
      <c r="P647" s="603"/>
      <c r="Q647" s="595"/>
      <c r="R647" s="595"/>
      <c r="S647" s="595"/>
      <c r="T647" s="595"/>
      <c r="U647" s="595"/>
      <c r="V647" s="595"/>
      <c r="W647" s="594"/>
      <c r="X647" s="594"/>
      <c r="Y647" s="595"/>
      <c r="Z647" s="595"/>
      <c r="AA647" s="595"/>
      <c r="AB647" s="595"/>
      <c r="AC647" s="595"/>
    </row>
    <row r="648" spans="1:29" ht="12.75" customHeight="1">
      <c r="A648" s="601"/>
      <c r="B648" s="602"/>
      <c r="C648" s="602"/>
      <c r="D648" s="602"/>
      <c r="E648" s="602"/>
      <c r="F648" s="602"/>
      <c r="G648" s="602"/>
      <c r="H648" s="602"/>
      <c r="I648" s="602"/>
      <c r="J648" s="602"/>
      <c r="K648" s="602"/>
      <c r="L648" s="603"/>
      <c r="M648" s="603"/>
      <c r="N648" s="603"/>
      <c r="O648" s="603"/>
      <c r="P648" s="603"/>
      <c r="Q648" s="595"/>
      <c r="R648" s="595"/>
      <c r="S648" s="595"/>
      <c r="T648" s="595"/>
      <c r="U648" s="595"/>
      <c r="V648" s="595"/>
      <c r="W648" s="594"/>
      <c r="X648" s="594"/>
      <c r="Y648" s="595"/>
      <c r="Z648" s="595"/>
      <c r="AA648" s="595"/>
      <c r="AB648" s="595"/>
      <c r="AC648" s="595"/>
    </row>
    <row r="649" spans="1:29" ht="12.75" customHeight="1">
      <c r="A649" s="601"/>
      <c r="B649" s="602"/>
      <c r="C649" s="602"/>
      <c r="D649" s="602"/>
      <c r="E649" s="602"/>
      <c r="F649" s="602"/>
      <c r="G649" s="602"/>
      <c r="H649" s="602"/>
      <c r="I649" s="602"/>
      <c r="J649" s="602"/>
      <c r="K649" s="602"/>
      <c r="L649" s="603"/>
      <c r="M649" s="603"/>
      <c r="N649" s="603"/>
      <c r="O649" s="603"/>
      <c r="P649" s="603"/>
      <c r="Q649" s="595"/>
      <c r="R649" s="595"/>
      <c r="S649" s="595"/>
      <c r="T649" s="595"/>
      <c r="U649" s="595"/>
      <c r="V649" s="595"/>
      <c r="W649" s="594"/>
      <c r="X649" s="594"/>
      <c r="Y649" s="595"/>
      <c r="Z649" s="595"/>
      <c r="AA649" s="595"/>
      <c r="AB649" s="595"/>
      <c r="AC649" s="595"/>
    </row>
    <row r="650" spans="1:29" ht="12.75" customHeight="1">
      <c r="A650" s="601"/>
      <c r="B650" s="602"/>
      <c r="C650" s="602"/>
      <c r="D650" s="602"/>
      <c r="E650" s="602"/>
      <c r="F650" s="602"/>
      <c r="G650" s="602"/>
      <c r="H650" s="602"/>
      <c r="I650" s="602"/>
      <c r="J650" s="602"/>
      <c r="K650" s="602"/>
      <c r="L650" s="603"/>
      <c r="M650" s="603"/>
      <c r="N650" s="603"/>
      <c r="O650" s="603"/>
      <c r="P650" s="603"/>
      <c r="Q650" s="595"/>
      <c r="R650" s="595"/>
      <c r="S650" s="595"/>
      <c r="T650" s="595"/>
      <c r="U650" s="595"/>
      <c r="V650" s="595"/>
      <c r="W650" s="594"/>
      <c r="X650" s="594"/>
      <c r="Y650" s="595"/>
      <c r="Z650" s="595"/>
      <c r="AA650" s="595"/>
      <c r="AB650" s="595"/>
      <c r="AC650" s="595"/>
    </row>
    <row r="651" spans="1:29" ht="12.75" customHeight="1">
      <c r="A651" s="601"/>
      <c r="B651" s="602"/>
      <c r="C651" s="602"/>
      <c r="D651" s="602"/>
      <c r="E651" s="602"/>
      <c r="F651" s="602"/>
      <c r="G651" s="602"/>
      <c r="H651" s="602"/>
      <c r="I651" s="602"/>
      <c r="J651" s="602"/>
      <c r="K651" s="602"/>
      <c r="L651" s="603"/>
      <c r="M651" s="603"/>
      <c r="N651" s="603"/>
      <c r="O651" s="603"/>
      <c r="P651" s="603"/>
      <c r="Q651" s="595"/>
      <c r="R651" s="595"/>
      <c r="S651" s="595"/>
      <c r="T651" s="595"/>
      <c r="U651" s="595"/>
      <c r="V651" s="595"/>
      <c r="W651" s="594"/>
      <c r="X651" s="594"/>
      <c r="Y651" s="595"/>
      <c r="Z651" s="595"/>
      <c r="AA651" s="595"/>
      <c r="AB651" s="595"/>
      <c r="AC651" s="595"/>
    </row>
    <row r="652" spans="1:29" ht="12.75" customHeight="1">
      <c r="A652" s="601"/>
      <c r="B652" s="602"/>
      <c r="C652" s="602"/>
      <c r="D652" s="602"/>
      <c r="E652" s="602"/>
      <c r="F652" s="602"/>
      <c r="G652" s="602"/>
      <c r="H652" s="602"/>
      <c r="I652" s="602"/>
      <c r="J652" s="602"/>
      <c r="K652" s="602"/>
      <c r="L652" s="603"/>
      <c r="M652" s="603"/>
      <c r="N652" s="603"/>
      <c r="O652" s="603"/>
      <c r="P652" s="603"/>
      <c r="Q652" s="595"/>
      <c r="R652" s="595"/>
      <c r="S652" s="595"/>
      <c r="T652" s="595"/>
      <c r="U652" s="595"/>
      <c r="V652" s="595"/>
      <c r="W652" s="594"/>
      <c r="X652" s="594"/>
      <c r="Y652" s="595"/>
      <c r="Z652" s="595"/>
      <c r="AA652" s="595"/>
      <c r="AB652" s="595"/>
      <c r="AC652" s="595"/>
    </row>
    <row r="653" spans="1:29" ht="12.75" customHeight="1">
      <c r="A653" s="601"/>
      <c r="B653" s="602"/>
      <c r="C653" s="602"/>
      <c r="D653" s="602"/>
      <c r="E653" s="602"/>
      <c r="F653" s="602"/>
      <c r="G653" s="602"/>
      <c r="H653" s="602"/>
      <c r="I653" s="602"/>
      <c r="J653" s="602"/>
      <c r="K653" s="602"/>
      <c r="L653" s="603"/>
      <c r="M653" s="603"/>
      <c r="N653" s="603"/>
      <c r="O653" s="603"/>
      <c r="P653" s="603"/>
      <c r="Q653" s="595"/>
      <c r="R653" s="595"/>
      <c r="S653" s="595"/>
      <c r="T653" s="595"/>
      <c r="U653" s="595"/>
      <c r="V653" s="595"/>
      <c r="W653" s="594"/>
      <c r="X653" s="594"/>
      <c r="Y653" s="595"/>
      <c r="Z653" s="595"/>
      <c r="AA653" s="595"/>
      <c r="AB653" s="595"/>
      <c r="AC653" s="595"/>
    </row>
    <row r="654" spans="1:29" ht="12.75" customHeight="1">
      <c r="A654" s="601"/>
      <c r="B654" s="602"/>
      <c r="C654" s="602"/>
      <c r="D654" s="602"/>
      <c r="E654" s="602"/>
      <c r="F654" s="602"/>
      <c r="G654" s="602"/>
      <c r="H654" s="602"/>
      <c r="I654" s="602"/>
      <c r="J654" s="602"/>
      <c r="K654" s="602"/>
      <c r="L654" s="603"/>
      <c r="M654" s="603"/>
      <c r="N654" s="603"/>
      <c r="O654" s="603"/>
      <c r="P654" s="603"/>
      <c r="Q654" s="595"/>
      <c r="R654" s="595"/>
      <c r="S654" s="595"/>
      <c r="T654" s="595"/>
      <c r="U654" s="595"/>
      <c r="V654" s="595"/>
      <c r="W654" s="594"/>
      <c r="X654" s="594"/>
      <c r="Y654" s="595"/>
      <c r="Z654" s="595"/>
      <c r="AA654" s="595"/>
      <c r="AB654" s="595"/>
      <c r="AC654" s="595"/>
    </row>
    <row r="655" spans="1:29" ht="12.75" customHeight="1">
      <c r="A655" s="601"/>
      <c r="B655" s="602"/>
      <c r="C655" s="602"/>
      <c r="D655" s="602"/>
      <c r="E655" s="602"/>
      <c r="F655" s="602"/>
      <c r="G655" s="602"/>
      <c r="H655" s="602"/>
      <c r="I655" s="602"/>
      <c r="J655" s="602"/>
      <c r="K655" s="602"/>
      <c r="L655" s="603"/>
      <c r="M655" s="603"/>
      <c r="N655" s="603"/>
      <c r="O655" s="603"/>
      <c r="P655" s="603"/>
      <c r="Q655" s="595"/>
      <c r="R655" s="595"/>
      <c r="S655" s="595"/>
      <c r="T655" s="595"/>
      <c r="U655" s="595"/>
      <c r="V655" s="595"/>
      <c r="W655" s="594"/>
      <c r="X655" s="594"/>
      <c r="Y655" s="595"/>
      <c r="Z655" s="595"/>
      <c r="AA655" s="595"/>
      <c r="AB655" s="595"/>
      <c r="AC655" s="595"/>
    </row>
    <row r="656" spans="1:29" ht="12.75" customHeight="1">
      <c r="A656" s="601"/>
      <c r="B656" s="602"/>
      <c r="C656" s="602"/>
      <c r="D656" s="602"/>
      <c r="E656" s="602"/>
      <c r="F656" s="602"/>
      <c r="G656" s="602"/>
      <c r="H656" s="602"/>
      <c r="I656" s="602"/>
      <c r="J656" s="602"/>
      <c r="K656" s="602"/>
      <c r="L656" s="603"/>
      <c r="M656" s="603"/>
      <c r="N656" s="603"/>
      <c r="O656" s="603"/>
      <c r="P656" s="603"/>
      <c r="Q656" s="595"/>
      <c r="R656" s="595"/>
      <c r="S656" s="595"/>
      <c r="T656" s="595"/>
      <c r="U656" s="595"/>
      <c r="V656" s="595"/>
      <c r="W656" s="594"/>
      <c r="X656" s="594"/>
      <c r="Y656" s="595"/>
      <c r="Z656" s="595"/>
      <c r="AA656" s="595"/>
      <c r="AB656" s="595"/>
      <c r="AC656" s="595"/>
    </row>
    <row r="657" spans="1:29" ht="12.75" customHeight="1">
      <c r="A657" s="601"/>
      <c r="B657" s="602"/>
      <c r="C657" s="602"/>
      <c r="D657" s="602"/>
      <c r="E657" s="602"/>
      <c r="F657" s="602"/>
      <c r="G657" s="602"/>
      <c r="H657" s="602"/>
      <c r="I657" s="602"/>
      <c r="J657" s="602"/>
      <c r="K657" s="602"/>
      <c r="L657" s="603"/>
      <c r="M657" s="603"/>
      <c r="N657" s="603"/>
      <c r="O657" s="603"/>
      <c r="P657" s="603"/>
      <c r="Q657" s="595"/>
      <c r="R657" s="595"/>
      <c r="S657" s="595"/>
      <c r="T657" s="595"/>
      <c r="U657" s="595"/>
      <c r="V657" s="595"/>
      <c r="W657" s="594"/>
      <c r="X657" s="594"/>
      <c r="Y657" s="595"/>
      <c r="Z657" s="595"/>
      <c r="AA657" s="595"/>
      <c r="AB657" s="595"/>
      <c r="AC657" s="595"/>
    </row>
    <row r="658" spans="1:29" ht="12.75" customHeight="1">
      <c r="A658" s="601"/>
      <c r="B658" s="602"/>
      <c r="C658" s="602"/>
      <c r="D658" s="602"/>
      <c r="E658" s="602"/>
      <c r="F658" s="602"/>
      <c r="G658" s="602"/>
      <c r="H658" s="602"/>
      <c r="I658" s="602"/>
      <c r="J658" s="602"/>
      <c r="K658" s="602"/>
      <c r="L658" s="603"/>
      <c r="M658" s="603"/>
      <c r="N658" s="603"/>
      <c r="O658" s="603"/>
      <c r="P658" s="603"/>
      <c r="Q658" s="595"/>
      <c r="R658" s="595"/>
      <c r="S658" s="595"/>
      <c r="T658" s="595"/>
      <c r="U658" s="595"/>
      <c r="V658" s="595"/>
      <c r="W658" s="594"/>
      <c r="X658" s="594"/>
      <c r="Y658" s="595"/>
      <c r="Z658" s="595"/>
      <c r="AA658" s="595"/>
      <c r="AB658" s="595"/>
      <c r="AC658" s="595"/>
    </row>
    <row r="659" spans="1:29" ht="12.75" customHeight="1">
      <c r="A659" s="601"/>
      <c r="B659" s="602"/>
      <c r="C659" s="602"/>
      <c r="D659" s="602"/>
      <c r="E659" s="602"/>
      <c r="F659" s="602"/>
      <c r="G659" s="602"/>
      <c r="H659" s="602"/>
      <c r="I659" s="602"/>
      <c r="J659" s="602"/>
      <c r="K659" s="602"/>
      <c r="L659" s="603"/>
      <c r="M659" s="603"/>
      <c r="N659" s="603"/>
      <c r="O659" s="603"/>
      <c r="P659" s="603"/>
      <c r="Q659" s="595"/>
      <c r="R659" s="595"/>
      <c r="S659" s="595"/>
      <c r="T659" s="595"/>
      <c r="U659" s="595"/>
      <c r="V659" s="595"/>
      <c r="W659" s="594"/>
      <c r="X659" s="594"/>
      <c r="Y659" s="595"/>
      <c r="Z659" s="595"/>
      <c r="AA659" s="595"/>
      <c r="AB659" s="595"/>
      <c r="AC659" s="595"/>
    </row>
    <row r="660" spans="1:29" ht="12.75" customHeight="1">
      <c r="A660" s="601"/>
      <c r="B660" s="602"/>
      <c r="C660" s="602"/>
      <c r="D660" s="602"/>
      <c r="E660" s="602"/>
      <c r="F660" s="602"/>
      <c r="G660" s="602"/>
      <c r="H660" s="602"/>
      <c r="I660" s="602"/>
      <c r="J660" s="602"/>
      <c r="K660" s="602"/>
      <c r="L660" s="603"/>
      <c r="M660" s="603"/>
      <c r="N660" s="603"/>
      <c r="O660" s="603"/>
      <c r="P660" s="603"/>
      <c r="Q660" s="595"/>
      <c r="R660" s="595"/>
      <c r="S660" s="595"/>
      <c r="T660" s="595"/>
      <c r="U660" s="595"/>
      <c r="V660" s="595"/>
      <c r="W660" s="594"/>
      <c r="X660" s="594"/>
      <c r="Y660" s="595"/>
      <c r="Z660" s="595"/>
      <c r="AA660" s="595"/>
      <c r="AB660" s="595"/>
      <c r="AC660" s="595"/>
    </row>
    <row r="661" spans="1:29" ht="12.75" customHeight="1">
      <c r="A661" s="601"/>
      <c r="B661" s="602"/>
      <c r="C661" s="602"/>
      <c r="D661" s="602"/>
      <c r="E661" s="602"/>
      <c r="F661" s="602"/>
      <c r="G661" s="602"/>
      <c r="H661" s="602"/>
      <c r="I661" s="602"/>
      <c r="J661" s="602"/>
      <c r="K661" s="602"/>
      <c r="L661" s="603"/>
      <c r="M661" s="603"/>
      <c r="N661" s="603"/>
      <c r="O661" s="603"/>
      <c r="P661" s="603"/>
      <c r="Q661" s="595"/>
      <c r="R661" s="595"/>
      <c r="S661" s="595"/>
      <c r="T661" s="595"/>
      <c r="U661" s="595"/>
      <c r="V661" s="595"/>
      <c r="W661" s="594"/>
      <c r="X661" s="594"/>
      <c r="Y661" s="595"/>
      <c r="Z661" s="595"/>
      <c r="AA661" s="595"/>
      <c r="AB661" s="595"/>
      <c r="AC661" s="595"/>
    </row>
    <row r="662" spans="1:29" ht="12.75" customHeight="1">
      <c r="A662" s="601"/>
      <c r="B662" s="602"/>
      <c r="C662" s="602"/>
      <c r="D662" s="602"/>
      <c r="E662" s="602"/>
      <c r="F662" s="602"/>
      <c r="G662" s="602"/>
      <c r="H662" s="602"/>
      <c r="I662" s="602"/>
      <c r="J662" s="602"/>
      <c r="K662" s="602"/>
      <c r="L662" s="603"/>
      <c r="M662" s="603"/>
      <c r="N662" s="603"/>
      <c r="O662" s="603"/>
      <c r="P662" s="603"/>
      <c r="Q662" s="595"/>
      <c r="R662" s="595"/>
      <c r="S662" s="595"/>
      <c r="T662" s="595"/>
      <c r="U662" s="595"/>
      <c r="V662" s="595"/>
      <c r="W662" s="594"/>
      <c r="X662" s="594"/>
      <c r="Y662" s="595"/>
      <c r="Z662" s="595"/>
      <c r="AA662" s="595"/>
      <c r="AB662" s="595"/>
      <c r="AC662" s="595"/>
    </row>
    <row r="663" spans="1:29" ht="12.75" customHeight="1">
      <c r="A663" s="601"/>
      <c r="B663" s="602"/>
      <c r="C663" s="602"/>
      <c r="D663" s="602"/>
      <c r="E663" s="602"/>
      <c r="F663" s="602"/>
      <c r="G663" s="602"/>
      <c r="H663" s="602"/>
      <c r="I663" s="602"/>
      <c r="J663" s="602"/>
      <c r="K663" s="602"/>
      <c r="L663" s="603"/>
      <c r="M663" s="603"/>
      <c r="N663" s="603"/>
      <c r="O663" s="603"/>
      <c r="P663" s="603"/>
      <c r="Q663" s="595"/>
      <c r="R663" s="595"/>
      <c r="S663" s="595"/>
      <c r="T663" s="595"/>
      <c r="U663" s="595"/>
      <c r="V663" s="595"/>
      <c r="W663" s="594"/>
      <c r="X663" s="594"/>
      <c r="Y663" s="595"/>
      <c r="Z663" s="595"/>
      <c r="AA663" s="595"/>
      <c r="AB663" s="595"/>
      <c r="AC663" s="595"/>
    </row>
    <row r="664" spans="1:29" ht="12.75" customHeight="1">
      <c r="A664" s="601"/>
      <c r="B664" s="602"/>
      <c r="C664" s="602"/>
      <c r="D664" s="602"/>
      <c r="E664" s="602"/>
      <c r="F664" s="602"/>
      <c r="G664" s="602"/>
      <c r="H664" s="602"/>
      <c r="I664" s="602"/>
      <c r="J664" s="602"/>
      <c r="K664" s="602"/>
      <c r="L664" s="603"/>
      <c r="M664" s="603"/>
      <c r="N664" s="603"/>
      <c r="O664" s="603"/>
      <c r="P664" s="603"/>
      <c r="Q664" s="595"/>
      <c r="R664" s="595"/>
      <c r="S664" s="595"/>
      <c r="T664" s="595"/>
      <c r="U664" s="595"/>
      <c r="V664" s="595"/>
      <c r="W664" s="594"/>
      <c r="X664" s="594"/>
      <c r="Y664" s="595"/>
      <c r="Z664" s="595"/>
      <c r="AA664" s="595"/>
      <c r="AB664" s="595"/>
      <c r="AC664" s="595"/>
    </row>
    <row r="665" spans="1:29" ht="12.75" customHeight="1">
      <c r="A665" s="601"/>
      <c r="B665" s="602"/>
      <c r="C665" s="602"/>
      <c r="D665" s="602"/>
      <c r="E665" s="602"/>
      <c r="F665" s="602"/>
      <c r="G665" s="602"/>
      <c r="H665" s="602"/>
      <c r="I665" s="602"/>
      <c r="J665" s="602"/>
      <c r="K665" s="602"/>
      <c r="L665" s="603"/>
      <c r="M665" s="603"/>
      <c r="N665" s="603"/>
      <c r="O665" s="603"/>
      <c r="P665" s="603"/>
      <c r="Q665" s="595"/>
      <c r="R665" s="595"/>
      <c r="S665" s="595"/>
      <c r="T665" s="595"/>
      <c r="U665" s="595"/>
      <c r="V665" s="595"/>
      <c r="W665" s="594"/>
      <c r="X665" s="594"/>
      <c r="Y665" s="595"/>
      <c r="Z665" s="595"/>
      <c r="AA665" s="595"/>
      <c r="AB665" s="595"/>
      <c r="AC665" s="595"/>
    </row>
    <row r="666" spans="1:29" ht="12.75" customHeight="1">
      <c r="A666" s="601"/>
      <c r="B666" s="602"/>
      <c r="C666" s="602"/>
      <c r="D666" s="602"/>
      <c r="E666" s="602"/>
      <c r="F666" s="602"/>
      <c r="G666" s="602"/>
      <c r="H666" s="602"/>
      <c r="I666" s="602"/>
      <c r="J666" s="602"/>
      <c r="K666" s="602"/>
      <c r="L666" s="603"/>
      <c r="M666" s="603"/>
      <c r="N666" s="603"/>
      <c r="O666" s="603"/>
      <c r="P666" s="603"/>
      <c r="Q666" s="595"/>
      <c r="R666" s="595"/>
      <c r="S666" s="595"/>
      <c r="T666" s="595"/>
      <c r="U666" s="595"/>
      <c r="V666" s="595"/>
      <c r="W666" s="594"/>
      <c r="X666" s="594"/>
      <c r="Y666" s="595"/>
      <c r="Z666" s="595"/>
      <c r="AA666" s="595"/>
      <c r="AB666" s="595"/>
      <c r="AC666" s="595"/>
    </row>
    <row r="667" spans="1:29" ht="12.75" customHeight="1">
      <c r="A667" s="601"/>
      <c r="B667" s="602"/>
      <c r="C667" s="602"/>
      <c r="D667" s="602"/>
      <c r="E667" s="602"/>
      <c r="F667" s="602"/>
      <c r="G667" s="602"/>
      <c r="H667" s="602"/>
      <c r="I667" s="602"/>
      <c r="J667" s="602"/>
      <c r="K667" s="602"/>
      <c r="L667" s="603"/>
      <c r="M667" s="603"/>
      <c r="N667" s="603"/>
      <c r="O667" s="603"/>
      <c r="P667" s="603"/>
      <c r="Q667" s="595"/>
      <c r="R667" s="595"/>
      <c r="S667" s="595"/>
      <c r="T667" s="595"/>
      <c r="U667" s="595"/>
      <c r="V667" s="595"/>
      <c r="W667" s="594"/>
      <c r="X667" s="594"/>
      <c r="Y667" s="595"/>
      <c r="Z667" s="595"/>
      <c r="AA667" s="595"/>
      <c r="AB667" s="595"/>
      <c r="AC667" s="595"/>
    </row>
    <row r="668" spans="1:29" ht="12.75" customHeight="1">
      <c r="A668" s="601"/>
      <c r="B668" s="602"/>
      <c r="C668" s="602"/>
      <c r="D668" s="602"/>
      <c r="E668" s="602"/>
      <c r="F668" s="602"/>
      <c r="G668" s="602"/>
      <c r="H668" s="602"/>
      <c r="I668" s="602"/>
      <c r="J668" s="602"/>
      <c r="K668" s="602"/>
      <c r="L668" s="603"/>
      <c r="M668" s="603"/>
      <c r="N668" s="603"/>
      <c r="O668" s="603"/>
      <c r="P668" s="603"/>
      <c r="Q668" s="595"/>
      <c r="R668" s="595"/>
      <c r="S668" s="595"/>
      <c r="T668" s="595"/>
      <c r="U668" s="595"/>
      <c r="V668" s="595"/>
      <c r="W668" s="594"/>
      <c r="X668" s="594"/>
      <c r="Y668" s="595"/>
      <c r="Z668" s="595"/>
      <c r="AA668" s="595"/>
      <c r="AB668" s="595"/>
      <c r="AC668" s="595"/>
    </row>
    <row r="669" spans="1:29" ht="12.75" customHeight="1">
      <c r="A669" s="601"/>
      <c r="B669" s="602"/>
      <c r="C669" s="602"/>
      <c r="D669" s="602"/>
      <c r="E669" s="602"/>
      <c r="F669" s="602"/>
      <c r="G669" s="602"/>
      <c r="H669" s="602"/>
      <c r="I669" s="602"/>
      <c r="J669" s="602"/>
      <c r="K669" s="602"/>
      <c r="L669" s="603"/>
      <c r="M669" s="603"/>
      <c r="N669" s="603"/>
      <c r="O669" s="603"/>
      <c r="P669" s="603"/>
      <c r="Q669" s="595"/>
      <c r="R669" s="595"/>
      <c r="S669" s="595"/>
      <c r="T669" s="595"/>
      <c r="U669" s="595"/>
      <c r="V669" s="595"/>
      <c r="W669" s="594"/>
      <c r="X669" s="594"/>
      <c r="Y669" s="595"/>
      <c r="Z669" s="595"/>
      <c r="AA669" s="595"/>
      <c r="AB669" s="595"/>
      <c r="AC669" s="595"/>
    </row>
    <row r="670" spans="1:29" ht="12.75" customHeight="1">
      <c r="A670" s="601"/>
      <c r="B670" s="602"/>
      <c r="C670" s="602"/>
      <c r="D670" s="602"/>
      <c r="E670" s="602"/>
      <c r="F670" s="602"/>
      <c r="G670" s="602"/>
      <c r="H670" s="602"/>
      <c r="I670" s="602"/>
      <c r="J670" s="602"/>
      <c r="K670" s="602"/>
      <c r="L670" s="603"/>
      <c r="M670" s="603"/>
      <c r="N670" s="603"/>
      <c r="O670" s="603"/>
      <c r="P670" s="603"/>
      <c r="Q670" s="595"/>
      <c r="R670" s="595"/>
      <c r="S670" s="595"/>
      <c r="T670" s="595"/>
      <c r="U670" s="595"/>
      <c r="V670" s="595"/>
      <c r="W670" s="594"/>
      <c r="X670" s="594"/>
      <c r="Y670" s="595"/>
      <c r="Z670" s="595"/>
      <c r="AA670" s="595"/>
      <c r="AB670" s="595"/>
      <c r="AC670" s="595"/>
    </row>
    <row r="671" spans="1:29" ht="12.75" customHeight="1">
      <c r="A671" s="601"/>
      <c r="B671" s="602"/>
      <c r="C671" s="602"/>
      <c r="D671" s="602"/>
      <c r="E671" s="602"/>
      <c r="F671" s="602"/>
      <c r="G671" s="602"/>
      <c r="H671" s="602"/>
      <c r="I671" s="602"/>
      <c r="J671" s="602"/>
      <c r="K671" s="602"/>
      <c r="L671" s="603"/>
      <c r="M671" s="603"/>
      <c r="N671" s="603"/>
      <c r="O671" s="603"/>
      <c r="P671" s="603"/>
      <c r="Q671" s="595"/>
      <c r="R671" s="595"/>
      <c r="S671" s="595"/>
      <c r="T671" s="595"/>
      <c r="U671" s="595"/>
      <c r="V671" s="595"/>
      <c r="W671" s="594"/>
      <c r="X671" s="594"/>
      <c r="Y671" s="595"/>
      <c r="Z671" s="595"/>
      <c r="AA671" s="595"/>
      <c r="AB671" s="595"/>
      <c r="AC671" s="595"/>
    </row>
    <row r="672" spans="1:29" ht="12.75" customHeight="1">
      <c r="A672" s="601"/>
      <c r="B672" s="602"/>
      <c r="C672" s="602"/>
      <c r="D672" s="602"/>
      <c r="E672" s="602"/>
      <c r="F672" s="602"/>
      <c r="G672" s="602"/>
      <c r="H672" s="602"/>
      <c r="I672" s="602"/>
      <c r="J672" s="602"/>
      <c r="K672" s="602"/>
      <c r="L672" s="603"/>
      <c r="M672" s="603"/>
      <c r="N672" s="603"/>
      <c r="O672" s="603"/>
      <c r="P672" s="603"/>
      <c r="Q672" s="595"/>
      <c r="R672" s="595"/>
      <c r="S672" s="595"/>
      <c r="T672" s="595"/>
      <c r="U672" s="595"/>
      <c r="V672" s="595"/>
      <c r="W672" s="594"/>
      <c r="X672" s="594"/>
      <c r="Y672" s="595"/>
      <c r="Z672" s="595"/>
      <c r="AA672" s="595"/>
      <c r="AB672" s="595"/>
      <c r="AC672" s="595"/>
    </row>
    <row r="673" spans="1:29" ht="12.75" customHeight="1">
      <c r="A673" s="601"/>
      <c r="B673" s="602"/>
      <c r="C673" s="602"/>
      <c r="D673" s="602"/>
      <c r="E673" s="602"/>
      <c r="F673" s="602"/>
      <c r="G673" s="602"/>
      <c r="H673" s="602"/>
      <c r="I673" s="602"/>
      <c r="J673" s="602"/>
      <c r="K673" s="602"/>
      <c r="L673" s="603"/>
      <c r="M673" s="603"/>
      <c r="N673" s="603"/>
      <c r="O673" s="603"/>
      <c r="P673" s="603"/>
      <c r="Q673" s="595"/>
      <c r="R673" s="595"/>
      <c r="S673" s="595"/>
      <c r="T673" s="595"/>
      <c r="U673" s="595"/>
      <c r="V673" s="595"/>
      <c r="W673" s="594"/>
      <c r="X673" s="594"/>
      <c r="Y673" s="595"/>
      <c r="Z673" s="595"/>
      <c r="AA673" s="595"/>
      <c r="AB673" s="595"/>
      <c r="AC673" s="595"/>
    </row>
    <row r="674" spans="1:29" ht="12.75" customHeight="1">
      <c r="A674" s="601"/>
      <c r="B674" s="602"/>
      <c r="C674" s="602"/>
      <c r="D674" s="602"/>
      <c r="E674" s="602"/>
      <c r="F674" s="602"/>
      <c r="G674" s="602"/>
      <c r="H674" s="602"/>
      <c r="I674" s="602"/>
      <c r="J674" s="602"/>
      <c r="K674" s="602"/>
      <c r="L674" s="603"/>
      <c r="M674" s="603"/>
      <c r="N674" s="603"/>
      <c r="O674" s="603"/>
      <c r="P674" s="603"/>
      <c r="Q674" s="595"/>
      <c r="R674" s="595"/>
      <c r="S674" s="595"/>
      <c r="T674" s="595"/>
      <c r="U674" s="595"/>
      <c r="V674" s="595"/>
      <c r="W674" s="594"/>
      <c r="X674" s="594"/>
      <c r="Y674" s="595"/>
      <c r="Z674" s="595"/>
      <c r="AA674" s="595"/>
      <c r="AB674" s="595"/>
      <c r="AC674" s="595"/>
    </row>
    <row r="675" spans="1:29" ht="12.75" customHeight="1">
      <c r="A675" s="601"/>
      <c r="B675" s="602"/>
      <c r="C675" s="602"/>
      <c r="D675" s="602"/>
      <c r="E675" s="602"/>
      <c r="F675" s="602"/>
      <c r="G675" s="602"/>
      <c r="H675" s="602"/>
      <c r="I675" s="602"/>
      <c r="J675" s="602"/>
      <c r="K675" s="602"/>
      <c r="L675" s="603"/>
      <c r="M675" s="603"/>
      <c r="N675" s="603"/>
      <c r="O675" s="603"/>
      <c r="P675" s="603"/>
      <c r="Q675" s="595"/>
      <c r="R675" s="595"/>
      <c r="S675" s="595"/>
      <c r="T675" s="595"/>
      <c r="U675" s="595"/>
      <c r="V675" s="595"/>
      <c r="W675" s="594"/>
      <c r="X675" s="594"/>
      <c r="Y675" s="595"/>
      <c r="Z675" s="595"/>
      <c r="AA675" s="595"/>
      <c r="AB675" s="595"/>
      <c r="AC675" s="595"/>
    </row>
    <row r="676" spans="1:29" ht="12.75" customHeight="1">
      <c r="A676" s="601"/>
      <c r="B676" s="602"/>
      <c r="C676" s="602"/>
      <c r="D676" s="602"/>
      <c r="E676" s="602"/>
      <c r="F676" s="602"/>
      <c r="G676" s="602"/>
      <c r="H676" s="602"/>
      <c r="I676" s="602"/>
      <c r="J676" s="602"/>
      <c r="K676" s="602"/>
      <c r="L676" s="603"/>
      <c r="M676" s="603"/>
      <c r="N676" s="603"/>
      <c r="O676" s="603"/>
      <c r="P676" s="603"/>
      <c r="Q676" s="595"/>
      <c r="R676" s="595"/>
      <c r="S676" s="595"/>
      <c r="T676" s="595"/>
      <c r="U676" s="595"/>
      <c r="V676" s="595"/>
      <c r="W676" s="594"/>
      <c r="X676" s="594"/>
      <c r="Y676" s="595"/>
      <c r="Z676" s="595"/>
      <c r="AA676" s="595"/>
      <c r="AB676" s="595"/>
      <c r="AC676" s="595"/>
    </row>
    <row r="677" spans="1:29" ht="12.75" customHeight="1">
      <c r="A677" s="601"/>
      <c r="B677" s="602"/>
      <c r="C677" s="602"/>
      <c r="D677" s="602"/>
      <c r="E677" s="602"/>
      <c r="F677" s="602"/>
      <c r="G677" s="602"/>
      <c r="H677" s="602"/>
      <c r="I677" s="602"/>
      <c r="J677" s="602"/>
      <c r="K677" s="602"/>
      <c r="L677" s="603"/>
      <c r="M677" s="603"/>
      <c r="N677" s="603"/>
      <c r="O677" s="603"/>
      <c r="P677" s="603"/>
      <c r="Q677" s="595"/>
      <c r="R677" s="595"/>
      <c r="S677" s="595"/>
      <c r="T677" s="595"/>
      <c r="U677" s="595"/>
      <c r="V677" s="595"/>
      <c r="W677" s="594"/>
      <c r="X677" s="594"/>
      <c r="Y677" s="595"/>
      <c r="Z677" s="595"/>
      <c r="AA677" s="595"/>
      <c r="AB677" s="595"/>
      <c r="AC677" s="595"/>
    </row>
    <row r="678" spans="1:29" ht="12.75" customHeight="1">
      <c r="A678" s="601"/>
      <c r="B678" s="602"/>
      <c r="C678" s="602"/>
      <c r="D678" s="602"/>
      <c r="E678" s="602"/>
      <c r="F678" s="602"/>
      <c r="G678" s="602"/>
      <c r="H678" s="602"/>
      <c r="I678" s="602"/>
      <c r="J678" s="602"/>
      <c r="K678" s="602"/>
      <c r="L678" s="603"/>
      <c r="M678" s="603"/>
      <c r="N678" s="603"/>
      <c r="O678" s="603"/>
      <c r="P678" s="603"/>
      <c r="Q678" s="595"/>
      <c r="R678" s="595"/>
      <c r="S678" s="595"/>
      <c r="T678" s="595"/>
      <c r="U678" s="595"/>
      <c r="V678" s="595"/>
      <c r="W678" s="594"/>
      <c r="X678" s="594"/>
      <c r="Y678" s="595"/>
      <c r="Z678" s="595"/>
      <c r="AA678" s="595"/>
      <c r="AB678" s="595"/>
      <c r="AC678" s="595"/>
    </row>
    <row r="679" spans="1:29" ht="12.75" customHeight="1">
      <c r="A679" s="601"/>
      <c r="B679" s="602"/>
      <c r="C679" s="602"/>
      <c r="D679" s="602"/>
      <c r="E679" s="602"/>
      <c r="F679" s="602"/>
      <c r="G679" s="602"/>
      <c r="H679" s="602"/>
      <c r="I679" s="602"/>
      <c r="J679" s="602"/>
      <c r="K679" s="602"/>
      <c r="L679" s="603"/>
      <c r="M679" s="603"/>
      <c r="N679" s="603"/>
      <c r="O679" s="603"/>
      <c r="P679" s="603"/>
      <c r="Q679" s="595"/>
      <c r="R679" s="595"/>
      <c r="S679" s="595"/>
      <c r="T679" s="595"/>
      <c r="U679" s="595"/>
      <c r="V679" s="595"/>
      <c r="W679" s="594"/>
      <c r="X679" s="594"/>
      <c r="Y679" s="595"/>
      <c r="Z679" s="595"/>
      <c r="AA679" s="595"/>
      <c r="AB679" s="595"/>
      <c r="AC679" s="595"/>
    </row>
    <row r="680" spans="1:29" ht="12.75" customHeight="1">
      <c r="A680" s="601"/>
      <c r="B680" s="602"/>
      <c r="C680" s="602"/>
      <c r="D680" s="602"/>
      <c r="E680" s="602"/>
      <c r="F680" s="602"/>
      <c r="G680" s="602"/>
      <c r="H680" s="602"/>
      <c r="I680" s="602"/>
      <c r="J680" s="602"/>
      <c r="K680" s="602"/>
      <c r="L680" s="603"/>
      <c r="M680" s="603"/>
      <c r="N680" s="603"/>
      <c r="O680" s="603"/>
      <c r="P680" s="603"/>
      <c r="Q680" s="595"/>
      <c r="R680" s="595"/>
      <c r="S680" s="595"/>
      <c r="T680" s="595"/>
      <c r="U680" s="595"/>
      <c r="V680" s="595"/>
      <c r="W680" s="594"/>
      <c r="X680" s="594"/>
      <c r="Y680" s="595"/>
      <c r="Z680" s="595"/>
      <c r="AA680" s="595"/>
      <c r="AB680" s="595"/>
      <c r="AC680" s="595"/>
    </row>
    <row r="681" spans="1:29" ht="12.75" customHeight="1">
      <c r="A681" s="601"/>
      <c r="B681" s="602"/>
      <c r="C681" s="602"/>
      <c r="D681" s="602"/>
      <c r="E681" s="602"/>
      <c r="F681" s="602"/>
      <c r="G681" s="602"/>
      <c r="H681" s="602"/>
      <c r="I681" s="602"/>
      <c r="J681" s="602"/>
      <c r="K681" s="602"/>
      <c r="L681" s="603"/>
      <c r="M681" s="603"/>
      <c r="N681" s="603"/>
      <c r="O681" s="603"/>
      <c r="P681" s="603"/>
      <c r="Q681" s="595"/>
      <c r="R681" s="595"/>
      <c r="S681" s="595"/>
      <c r="T681" s="595"/>
      <c r="U681" s="595"/>
      <c r="V681" s="595"/>
      <c r="W681" s="594"/>
      <c r="X681" s="594"/>
      <c r="Y681" s="595"/>
      <c r="Z681" s="595"/>
      <c r="AA681" s="595"/>
      <c r="AB681" s="595"/>
      <c r="AC681" s="595"/>
    </row>
    <row r="682" spans="1:29" ht="12.75" customHeight="1">
      <c r="A682" s="601"/>
      <c r="B682" s="602"/>
      <c r="C682" s="602"/>
      <c r="D682" s="602"/>
      <c r="E682" s="602"/>
      <c r="F682" s="602"/>
      <c r="G682" s="602"/>
      <c r="H682" s="602"/>
      <c r="I682" s="602"/>
      <c r="J682" s="602"/>
      <c r="K682" s="602"/>
      <c r="L682" s="603"/>
      <c r="M682" s="603"/>
      <c r="N682" s="603"/>
      <c r="O682" s="603"/>
      <c r="P682" s="603"/>
      <c r="Q682" s="595"/>
      <c r="R682" s="595"/>
      <c r="S682" s="595"/>
      <c r="T682" s="595"/>
      <c r="U682" s="595"/>
      <c r="V682" s="595"/>
      <c r="W682" s="594"/>
      <c r="X682" s="594"/>
      <c r="Y682" s="595"/>
      <c r="Z682" s="595"/>
      <c r="AA682" s="595"/>
      <c r="AB682" s="595"/>
      <c r="AC682" s="595"/>
    </row>
    <row r="683" spans="1:29" ht="12.75" customHeight="1">
      <c r="A683" s="601"/>
      <c r="B683" s="602"/>
      <c r="C683" s="602"/>
      <c r="D683" s="602"/>
      <c r="E683" s="602"/>
      <c r="F683" s="602"/>
      <c r="G683" s="602"/>
      <c r="H683" s="602"/>
      <c r="I683" s="602"/>
      <c r="J683" s="602"/>
      <c r="K683" s="602"/>
      <c r="L683" s="603"/>
      <c r="M683" s="603"/>
      <c r="N683" s="603"/>
      <c r="O683" s="603"/>
      <c r="P683" s="603"/>
      <c r="Q683" s="595"/>
      <c r="R683" s="595"/>
      <c r="S683" s="595"/>
      <c r="T683" s="595"/>
      <c r="U683" s="595"/>
      <c r="V683" s="595"/>
      <c r="W683" s="594"/>
      <c r="X683" s="594"/>
      <c r="Y683" s="595"/>
      <c r="Z683" s="595"/>
      <c r="AA683" s="595"/>
      <c r="AB683" s="595"/>
      <c r="AC683" s="595"/>
    </row>
    <row r="684" spans="1:29" ht="12.75" customHeight="1">
      <c r="A684" s="601"/>
      <c r="B684" s="602"/>
      <c r="C684" s="602"/>
      <c r="D684" s="602"/>
      <c r="E684" s="602"/>
      <c r="F684" s="602"/>
      <c r="G684" s="602"/>
      <c r="H684" s="602"/>
      <c r="I684" s="602"/>
      <c r="J684" s="602"/>
      <c r="K684" s="602"/>
      <c r="L684" s="603"/>
      <c r="M684" s="603"/>
      <c r="N684" s="603"/>
      <c r="O684" s="603"/>
      <c r="P684" s="603"/>
      <c r="Q684" s="595"/>
      <c r="R684" s="595"/>
      <c r="S684" s="595"/>
      <c r="T684" s="595"/>
      <c r="U684" s="595"/>
      <c r="V684" s="595"/>
      <c r="W684" s="594"/>
      <c r="X684" s="594"/>
      <c r="Y684" s="595"/>
      <c r="Z684" s="595"/>
      <c r="AA684" s="595"/>
      <c r="AB684" s="595"/>
      <c r="AC684" s="595"/>
    </row>
    <row r="685" spans="1:29" ht="12.75" customHeight="1">
      <c r="A685" s="601"/>
      <c r="B685" s="602"/>
      <c r="C685" s="602"/>
      <c r="D685" s="602"/>
      <c r="E685" s="602"/>
      <c r="F685" s="602"/>
      <c r="G685" s="602"/>
      <c r="H685" s="602"/>
      <c r="I685" s="602"/>
      <c r="J685" s="602"/>
      <c r="K685" s="602"/>
      <c r="L685" s="603"/>
      <c r="M685" s="603"/>
      <c r="N685" s="603"/>
      <c r="O685" s="603"/>
      <c r="P685" s="603"/>
      <c r="Q685" s="595"/>
      <c r="R685" s="595"/>
      <c r="S685" s="595"/>
      <c r="T685" s="595"/>
      <c r="U685" s="595"/>
      <c r="V685" s="595"/>
      <c r="W685" s="594"/>
      <c r="X685" s="594"/>
      <c r="Y685" s="595"/>
      <c r="Z685" s="595"/>
      <c r="AA685" s="595"/>
      <c r="AB685" s="595"/>
      <c r="AC685" s="595"/>
    </row>
    <row r="686" spans="1:29" ht="12.75" customHeight="1">
      <c r="A686" s="601"/>
      <c r="B686" s="602"/>
      <c r="C686" s="602"/>
      <c r="D686" s="602"/>
      <c r="E686" s="602"/>
      <c r="F686" s="602"/>
      <c r="G686" s="602"/>
      <c r="H686" s="602"/>
      <c r="I686" s="602"/>
      <c r="J686" s="602"/>
      <c r="K686" s="602"/>
      <c r="L686" s="603"/>
      <c r="M686" s="603"/>
      <c r="N686" s="603"/>
      <c r="O686" s="603"/>
      <c r="P686" s="603"/>
      <c r="Q686" s="595"/>
      <c r="R686" s="595"/>
      <c r="S686" s="595"/>
      <c r="T686" s="595"/>
      <c r="U686" s="595"/>
      <c r="V686" s="595"/>
      <c r="W686" s="594"/>
      <c r="X686" s="594"/>
      <c r="Y686" s="595"/>
      <c r="Z686" s="595"/>
      <c r="AA686" s="595"/>
      <c r="AB686" s="595"/>
      <c r="AC686" s="595"/>
    </row>
    <row r="687" spans="1:29" ht="12.75" customHeight="1">
      <c r="A687" s="601"/>
      <c r="B687" s="602"/>
      <c r="C687" s="602"/>
      <c r="D687" s="602"/>
      <c r="E687" s="602"/>
      <c r="F687" s="602"/>
      <c r="G687" s="602"/>
      <c r="H687" s="602"/>
      <c r="I687" s="602"/>
      <c r="J687" s="602"/>
      <c r="K687" s="602"/>
      <c r="L687" s="603"/>
      <c r="M687" s="603"/>
      <c r="N687" s="603"/>
      <c r="O687" s="603"/>
      <c r="P687" s="603"/>
      <c r="Q687" s="595"/>
      <c r="R687" s="595"/>
      <c r="S687" s="595"/>
      <c r="T687" s="595"/>
      <c r="U687" s="595"/>
      <c r="V687" s="595"/>
      <c r="W687" s="594"/>
      <c r="X687" s="594"/>
      <c r="Y687" s="595"/>
      <c r="Z687" s="595"/>
      <c r="AA687" s="595"/>
      <c r="AB687" s="595"/>
      <c r="AC687" s="595"/>
    </row>
    <row r="688" spans="1:29" ht="12.75" customHeight="1">
      <c r="A688" s="601"/>
      <c r="B688" s="602"/>
      <c r="C688" s="602"/>
      <c r="D688" s="602"/>
      <c r="E688" s="602"/>
      <c r="F688" s="602"/>
      <c r="G688" s="602"/>
      <c r="H688" s="602"/>
      <c r="I688" s="602"/>
      <c r="J688" s="602"/>
      <c r="K688" s="602"/>
      <c r="L688" s="603"/>
      <c r="M688" s="603"/>
      <c r="N688" s="603"/>
      <c r="O688" s="603"/>
      <c r="P688" s="603"/>
      <c r="Q688" s="595"/>
      <c r="R688" s="595"/>
      <c r="S688" s="595"/>
      <c r="T688" s="595"/>
      <c r="U688" s="595"/>
      <c r="V688" s="595"/>
      <c r="W688" s="594"/>
      <c r="X688" s="594"/>
      <c r="Y688" s="595"/>
      <c r="Z688" s="595"/>
      <c r="AA688" s="595"/>
      <c r="AB688" s="595"/>
      <c r="AC688" s="595"/>
    </row>
    <row r="689" spans="1:29" ht="12.75" customHeight="1">
      <c r="A689" s="601"/>
      <c r="B689" s="602"/>
      <c r="C689" s="602"/>
      <c r="D689" s="602"/>
      <c r="E689" s="602"/>
      <c r="F689" s="602"/>
      <c r="G689" s="602"/>
      <c r="H689" s="602"/>
      <c r="I689" s="602"/>
      <c r="J689" s="602"/>
      <c r="K689" s="602"/>
      <c r="L689" s="603"/>
      <c r="M689" s="603"/>
      <c r="N689" s="603"/>
      <c r="O689" s="603"/>
      <c r="P689" s="603"/>
      <c r="Q689" s="595"/>
      <c r="R689" s="595"/>
      <c r="S689" s="595"/>
      <c r="T689" s="595"/>
      <c r="U689" s="595"/>
      <c r="V689" s="595"/>
      <c r="W689" s="594"/>
      <c r="X689" s="594"/>
      <c r="Y689" s="595"/>
      <c r="Z689" s="595"/>
      <c r="AA689" s="595"/>
      <c r="AB689" s="595"/>
      <c r="AC689" s="595"/>
    </row>
    <row r="690" spans="1:29" ht="12.75" customHeight="1">
      <c r="A690" s="601"/>
      <c r="B690" s="602"/>
      <c r="C690" s="602"/>
      <c r="D690" s="602"/>
      <c r="E690" s="602"/>
      <c r="F690" s="602"/>
      <c r="G690" s="602"/>
      <c r="H690" s="602"/>
      <c r="I690" s="602"/>
      <c r="J690" s="602"/>
      <c r="K690" s="602"/>
      <c r="L690" s="603"/>
      <c r="M690" s="603"/>
      <c r="N690" s="603"/>
      <c r="O690" s="603"/>
      <c r="P690" s="603"/>
      <c r="Q690" s="595"/>
      <c r="R690" s="595"/>
      <c r="S690" s="595"/>
      <c r="T690" s="595"/>
      <c r="U690" s="595"/>
      <c r="V690" s="595"/>
      <c r="W690" s="594"/>
      <c r="X690" s="594"/>
      <c r="Y690" s="595"/>
      <c r="Z690" s="595"/>
      <c r="AA690" s="595"/>
      <c r="AB690" s="595"/>
      <c r="AC690" s="595"/>
    </row>
    <row r="691" spans="1:29" ht="12.75" customHeight="1">
      <c r="A691" s="601"/>
      <c r="B691" s="602"/>
      <c r="C691" s="602"/>
      <c r="D691" s="602"/>
      <c r="E691" s="602"/>
      <c r="F691" s="602"/>
      <c r="G691" s="602"/>
      <c r="H691" s="602"/>
      <c r="I691" s="602"/>
      <c r="J691" s="602"/>
      <c r="K691" s="602"/>
      <c r="L691" s="603"/>
      <c r="M691" s="603"/>
      <c r="N691" s="603"/>
      <c r="O691" s="603"/>
      <c r="P691" s="603"/>
      <c r="Q691" s="595"/>
      <c r="R691" s="595"/>
      <c r="S691" s="595"/>
      <c r="T691" s="595"/>
      <c r="U691" s="595"/>
      <c r="V691" s="595"/>
      <c r="W691" s="594"/>
      <c r="X691" s="594"/>
      <c r="Y691" s="595"/>
      <c r="Z691" s="595"/>
      <c r="AA691" s="595"/>
      <c r="AB691" s="595"/>
      <c r="AC691" s="595"/>
    </row>
    <row r="692" spans="1:29" ht="12.75" customHeight="1">
      <c r="A692" s="601"/>
      <c r="B692" s="602"/>
      <c r="C692" s="602"/>
      <c r="D692" s="602"/>
      <c r="E692" s="602"/>
      <c r="F692" s="602"/>
      <c r="G692" s="602"/>
      <c r="H692" s="602"/>
      <c r="I692" s="602"/>
      <c r="J692" s="602"/>
      <c r="K692" s="602"/>
      <c r="L692" s="603"/>
      <c r="M692" s="603"/>
      <c r="N692" s="603"/>
      <c r="O692" s="603"/>
      <c r="P692" s="603"/>
      <c r="Q692" s="595"/>
      <c r="R692" s="595"/>
      <c r="S692" s="595"/>
      <c r="T692" s="595"/>
      <c r="U692" s="595"/>
      <c r="V692" s="595"/>
      <c r="W692" s="594"/>
      <c r="X692" s="594"/>
      <c r="Y692" s="595"/>
      <c r="Z692" s="595"/>
      <c r="AA692" s="595"/>
      <c r="AB692" s="595"/>
      <c r="AC692" s="595"/>
    </row>
    <row r="693" spans="1:29" ht="12.75" customHeight="1">
      <c r="A693" s="601"/>
      <c r="B693" s="602"/>
      <c r="C693" s="602"/>
      <c r="D693" s="602"/>
      <c r="E693" s="602"/>
      <c r="F693" s="602"/>
      <c r="G693" s="602"/>
      <c r="H693" s="602"/>
      <c r="I693" s="602"/>
      <c r="J693" s="602"/>
      <c r="K693" s="602"/>
      <c r="L693" s="603"/>
      <c r="M693" s="603"/>
      <c r="N693" s="603"/>
      <c r="O693" s="603"/>
      <c r="P693" s="603"/>
      <c r="Q693" s="595"/>
      <c r="R693" s="595"/>
      <c r="S693" s="595"/>
      <c r="T693" s="595"/>
      <c r="U693" s="595"/>
      <c r="V693" s="595"/>
      <c r="W693" s="594"/>
      <c r="X693" s="594"/>
      <c r="Y693" s="595"/>
      <c r="Z693" s="595"/>
      <c r="AA693" s="595"/>
      <c r="AB693" s="595"/>
      <c r="AC693" s="595"/>
    </row>
    <row r="694" spans="1:29" ht="12.75" customHeight="1">
      <c r="A694" s="601"/>
      <c r="B694" s="602"/>
      <c r="C694" s="602"/>
      <c r="D694" s="602"/>
      <c r="E694" s="602"/>
      <c r="F694" s="602"/>
      <c r="G694" s="602"/>
      <c r="H694" s="602"/>
      <c r="I694" s="602"/>
      <c r="J694" s="602"/>
      <c r="K694" s="602"/>
      <c r="L694" s="603"/>
      <c r="M694" s="603"/>
      <c r="N694" s="603"/>
      <c r="O694" s="603"/>
      <c r="P694" s="603"/>
      <c r="Q694" s="595"/>
      <c r="R694" s="595"/>
      <c r="S694" s="595"/>
      <c r="T694" s="595"/>
      <c r="U694" s="595"/>
      <c r="V694" s="595"/>
      <c r="W694" s="594"/>
      <c r="X694" s="594"/>
      <c r="Y694" s="595"/>
      <c r="Z694" s="595"/>
      <c r="AA694" s="595"/>
      <c r="AB694" s="595"/>
      <c r="AC694" s="595"/>
    </row>
    <row r="695" spans="1:29" ht="12.75" customHeight="1">
      <c r="A695" s="601"/>
      <c r="B695" s="602"/>
      <c r="C695" s="602"/>
      <c r="D695" s="602"/>
      <c r="E695" s="602"/>
      <c r="F695" s="602"/>
      <c r="G695" s="602"/>
      <c r="H695" s="602"/>
      <c r="I695" s="602"/>
      <c r="J695" s="602"/>
      <c r="K695" s="602"/>
      <c r="L695" s="603"/>
      <c r="M695" s="603"/>
      <c r="N695" s="603"/>
      <c r="O695" s="603"/>
      <c r="P695" s="603"/>
      <c r="Q695" s="595"/>
      <c r="R695" s="595"/>
      <c r="S695" s="595"/>
      <c r="T695" s="595"/>
      <c r="U695" s="595"/>
      <c r="V695" s="595"/>
      <c r="W695" s="594"/>
      <c r="X695" s="594"/>
      <c r="Y695" s="595"/>
      <c r="Z695" s="595"/>
      <c r="AA695" s="595"/>
      <c r="AB695" s="595"/>
      <c r="AC695" s="595"/>
    </row>
    <row r="696" spans="1:29" ht="12.75" customHeight="1">
      <c r="A696" s="601"/>
      <c r="B696" s="602"/>
      <c r="C696" s="602"/>
      <c r="D696" s="602"/>
      <c r="E696" s="602"/>
      <c r="F696" s="602"/>
      <c r="G696" s="602"/>
      <c r="H696" s="602"/>
      <c r="I696" s="602"/>
      <c r="J696" s="602"/>
      <c r="K696" s="602"/>
      <c r="L696" s="603"/>
      <c r="M696" s="603"/>
      <c r="N696" s="603"/>
      <c r="O696" s="603"/>
      <c r="P696" s="603"/>
      <c r="Q696" s="595"/>
      <c r="R696" s="595"/>
      <c r="S696" s="595"/>
      <c r="T696" s="595"/>
      <c r="U696" s="595"/>
      <c r="V696" s="595"/>
      <c r="W696" s="594"/>
      <c r="X696" s="594"/>
      <c r="Y696" s="595"/>
      <c r="Z696" s="595"/>
      <c r="AA696" s="595"/>
      <c r="AB696" s="595"/>
      <c r="AC696" s="595"/>
    </row>
    <row r="697" spans="1:29" ht="12.75" customHeight="1">
      <c r="A697" s="601"/>
      <c r="B697" s="602"/>
      <c r="C697" s="602"/>
      <c r="D697" s="602"/>
      <c r="E697" s="602"/>
      <c r="F697" s="602"/>
      <c r="G697" s="602"/>
      <c r="H697" s="602"/>
      <c r="I697" s="602"/>
      <c r="J697" s="602"/>
      <c r="K697" s="602"/>
      <c r="L697" s="603"/>
      <c r="M697" s="603"/>
      <c r="N697" s="603"/>
      <c r="O697" s="603"/>
      <c r="P697" s="603"/>
      <c r="Q697" s="595"/>
      <c r="R697" s="595"/>
      <c r="S697" s="595"/>
      <c r="T697" s="595"/>
      <c r="U697" s="595"/>
      <c r="V697" s="595"/>
      <c r="W697" s="594"/>
      <c r="X697" s="594"/>
      <c r="Y697" s="595"/>
      <c r="Z697" s="595"/>
      <c r="AA697" s="595"/>
      <c r="AB697" s="595"/>
      <c r="AC697" s="595"/>
    </row>
    <row r="698" spans="1:29" ht="12.75" customHeight="1">
      <c r="A698" s="601"/>
      <c r="B698" s="602"/>
      <c r="C698" s="602"/>
      <c r="D698" s="602"/>
      <c r="E698" s="602"/>
      <c r="F698" s="602"/>
      <c r="G698" s="602"/>
      <c r="H698" s="602"/>
      <c r="I698" s="602"/>
      <c r="J698" s="602"/>
      <c r="K698" s="602"/>
      <c r="L698" s="603"/>
      <c r="M698" s="603"/>
      <c r="N698" s="603"/>
      <c r="O698" s="603"/>
      <c r="P698" s="603"/>
      <c r="Q698" s="595"/>
      <c r="R698" s="595"/>
      <c r="S698" s="595"/>
      <c r="T698" s="595"/>
      <c r="U698" s="595"/>
      <c r="V698" s="595"/>
      <c r="W698" s="594"/>
      <c r="X698" s="594"/>
      <c r="Y698" s="595"/>
      <c r="Z698" s="595"/>
      <c r="AA698" s="595"/>
      <c r="AB698" s="595"/>
      <c r="AC698" s="595"/>
    </row>
    <row r="699" spans="1:29" ht="12.75" customHeight="1">
      <c r="A699" s="601"/>
      <c r="B699" s="602"/>
      <c r="C699" s="602"/>
      <c r="D699" s="602"/>
      <c r="E699" s="602"/>
      <c r="F699" s="602"/>
      <c r="G699" s="602"/>
      <c r="H699" s="602"/>
      <c r="I699" s="602"/>
      <c r="J699" s="602"/>
      <c r="K699" s="602"/>
      <c r="L699" s="603"/>
      <c r="M699" s="603"/>
      <c r="N699" s="603"/>
      <c r="O699" s="603"/>
      <c r="P699" s="603"/>
      <c r="Q699" s="595"/>
      <c r="R699" s="595"/>
      <c r="S699" s="595"/>
      <c r="T699" s="595"/>
      <c r="U699" s="595"/>
      <c r="V699" s="595"/>
      <c r="W699" s="594"/>
      <c r="X699" s="594"/>
      <c r="Y699" s="595"/>
      <c r="Z699" s="595"/>
      <c r="AA699" s="595"/>
      <c r="AB699" s="595"/>
      <c r="AC699" s="595"/>
    </row>
    <row r="700" spans="1:29" ht="12.75" customHeight="1">
      <c r="A700" s="601"/>
      <c r="B700" s="602"/>
      <c r="C700" s="602"/>
      <c r="D700" s="602"/>
      <c r="E700" s="602"/>
      <c r="F700" s="602"/>
      <c r="G700" s="602"/>
      <c r="H700" s="602"/>
      <c r="I700" s="602"/>
      <c r="J700" s="602"/>
      <c r="K700" s="602"/>
      <c r="L700" s="603"/>
      <c r="M700" s="603"/>
      <c r="N700" s="603"/>
      <c r="O700" s="603"/>
      <c r="P700" s="603"/>
      <c r="Q700" s="595"/>
      <c r="R700" s="595"/>
      <c r="S700" s="595"/>
      <c r="T700" s="595"/>
      <c r="U700" s="595"/>
      <c r="V700" s="595"/>
      <c r="W700" s="594"/>
      <c r="X700" s="594"/>
      <c r="Y700" s="595"/>
      <c r="Z700" s="595"/>
      <c r="AA700" s="595"/>
      <c r="AB700" s="595"/>
      <c r="AC700" s="595"/>
    </row>
    <row r="701" spans="1:29" ht="12.75" customHeight="1">
      <c r="A701" s="601"/>
      <c r="B701" s="602"/>
      <c r="C701" s="602"/>
      <c r="D701" s="602"/>
      <c r="E701" s="602"/>
      <c r="F701" s="602"/>
      <c r="G701" s="602"/>
      <c r="H701" s="602"/>
      <c r="I701" s="602"/>
      <c r="J701" s="602"/>
      <c r="K701" s="602"/>
      <c r="L701" s="603"/>
      <c r="M701" s="603"/>
      <c r="N701" s="603"/>
      <c r="O701" s="603"/>
      <c r="P701" s="603"/>
      <c r="Q701" s="595"/>
      <c r="R701" s="595"/>
      <c r="S701" s="595"/>
      <c r="T701" s="595"/>
      <c r="U701" s="595"/>
      <c r="V701" s="595"/>
      <c r="W701" s="594"/>
      <c r="X701" s="594"/>
      <c r="Y701" s="595"/>
      <c r="Z701" s="595"/>
      <c r="AA701" s="595"/>
      <c r="AB701" s="595"/>
      <c r="AC701" s="595"/>
    </row>
    <row r="702" spans="1:29" ht="12.75" customHeight="1">
      <c r="A702" s="601"/>
      <c r="B702" s="602"/>
      <c r="C702" s="602"/>
      <c r="D702" s="602"/>
      <c r="E702" s="602"/>
      <c r="F702" s="602"/>
      <c r="G702" s="602"/>
      <c r="H702" s="602"/>
      <c r="I702" s="602"/>
      <c r="J702" s="602"/>
      <c r="K702" s="602"/>
      <c r="L702" s="603"/>
      <c r="M702" s="603"/>
      <c r="N702" s="603"/>
      <c r="O702" s="603"/>
      <c r="P702" s="603"/>
      <c r="Q702" s="595"/>
      <c r="R702" s="595"/>
      <c r="S702" s="595"/>
      <c r="T702" s="595"/>
      <c r="U702" s="595"/>
      <c r="V702" s="595"/>
      <c r="W702" s="594"/>
      <c r="X702" s="594"/>
      <c r="Y702" s="595"/>
      <c r="Z702" s="595"/>
      <c r="AA702" s="595"/>
      <c r="AB702" s="595"/>
      <c r="AC702" s="595"/>
    </row>
    <row r="703" spans="1:29" ht="12.75" customHeight="1">
      <c r="A703" s="601"/>
      <c r="B703" s="602"/>
      <c r="C703" s="602"/>
      <c r="D703" s="602"/>
      <c r="E703" s="602"/>
      <c r="F703" s="602"/>
      <c r="G703" s="602"/>
      <c r="H703" s="602"/>
      <c r="I703" s="602"/>
      <c r="J703" s="602"/>
      <c r="K703" s="602"/>
      <c r="L703" s="603"/>
      <c r="M703" s="603"/>
      <c r="N703" s="603"/>
      <c r="O703" s="603"/>
      <c r="P703" s="603"/>
      <c r="Q703" s="595"/>
      <c r="R703" s="595"/>
      <c r="S703" s="595"/>
      <c r="T703" s="595"/>
      <c r="U703" s="595"/>
      <c r="V703" s="595"/>
      <c r="W703" s="594"/>
      <c r="X703" s="594"/>
      <c r="Y703" s="595"/>
      <c r="Z703" s="595"/>
      <c r="AA703" s="595"/>
      <c r="AB703" s="595"/>
      <c r="AC703" s="595"/>
    </row>
    <row r="704" spans="1:29" ht="12.75" customHeight="1">
      <c r="A704" s="601"/>
      <c r="B704" s="602"/>
      <c r="C704" s="602"/>
      <c r="D704" s="602"/>
      <c r="E704" s="602"/>
      <c r="F704" s="602"/>
      <c r="G704" s="602"/>
      <c r="H704" s="602"/>
      <c r="I704" s="602"/>
      <c r="J704" s="602"/>
      <c r="K704" s="602"/>
      <c r="L704" s="603"/>
      <c r="M704" s="603"/>
      <c r="N704" s="603"/>
      <c r="O704" s="603"/>
      <c r="P704" s="603"/>
      <c r="Q704" s="595"/>
      <c r="R704" s="595"/>
      <c r="S704" s="595"/>
      <c r="T704" s="595"/>
      <c r="U704" s="595"/>
      <c r="V704" s="595"/>
      <c r="W704" s="594"/>
      <c r="X704" s="594"/>
      <c r="Y704" s="595"/>
      <c r="Z704" s="595"/>
      <c r="AA704" s="595"/>
      <c r="AB704" s="595"/>
      <c r="AC704" s="595"/>
    </row>
    <row r="705" spans="1:29" ht="12.75" customHeight="1">
      <c r="A705" s="601"/>
      <c r="B705" s="602"/>
      <c r="C705" s="602"/>
      <c r="D705" s="602"/>
      <c r="E705" s="602"/>
      <c r="F705" s="602"/>
      <c r="G705" s="602"/>
      <c r="H705" s="602"/>
      <c r="I705" s="602"/>
      <c r="J705" s="602"/>
      <c r="K705" s="602"/>
      <c r="L705" s="603"/>
      <c r="M705" s="603"/>
      <c r="N705" s="603"/>
      <c r="O705" s="603"/>
      <c r="P705" s="603"/>
      <c r="Q705" s="595"/>
      <c r="R705" s="595"/>
      <c r="S705" s="595"/>
      <c r="T705" s="595"/>
      <c r="U705" s="595"/>
      <c r="V705" s="595"/>
      <c r="W705" s="594"/>
      <c r="X705" s="594"/>
      <c r="Y705" s="595"/>
      <c r="Z705" s="595"/>
      <c r="AA705" s="595"/>
      <c r="AB705" s="595"/>
      <c r="AC705" s="595"/>
    </row>
    <row r="706" spans="1:29" ht="12.75" customHeight="1">
      <c r="A706" s="601"/>
      <c r="B706" s="602"/>
      <c r="C706" s="602"/>
      <c r="D706" s="602"/>
      <c r="E706" s="602"/>
      <c r="F706" s="602"/>
      <c r="G706" s="602"/>
      <c r="H706" s="602"/>
      <c r="I706" s="602"/>
      <c r="J706" s="602"/>
      <c r="K706" s="602"/>
      <c r="L706" s="603"/>
      <c r="M706" s="603"/>
      <c r="N706" s="603"/>
      <c r="O706" s="603"/>
      <c r="P706" s="603"/>
      <c r="Q706" s="595"/>
      <c r="R706" s="595"/>
      <c r="S706" s="595"/>
      <c r="T706" s="595"/>
      <c r="U706" s="595"/>
      <c r="V706" s="595"/>
      <c r="W706" s="594"/>
      <c r="X706" s="594"/>
      <c r="Y706" s="595"/>
      <c r="Z706" s="595"/>
      <c r="AA706" s="595"/>
      <c r="AB706" s="595"/>
      <c r="AC706" s="595"/>
    </row>
    <row r="707" spans="1:29" ht="12.75" customHeight="1">
      <c r="A707" s="601"/>
      <c r="B707" s="602"/>
      <c r="C707" s="602"/>
      <c r="D707" s="602"/>
      <c r="E707" s="602"/>
      <c r="F707" s="602"/>
      <c r="G707" s="602"/>
      <c r="H707" s="602"/>
      <c r="I707" s="602"/>
      <c r="J707" s="602"/>
      <c r="K707" s="602"/>
      <c r="L707" s="603"/>
      <c r="M707" s="603"/>
      <c r="N707" s="603"/>
      <c r="O707" s="603"/>
      <c r="P707" s="603"/>
      <c r="Q707" s="595"/>
      <c r="R707" s="595"/>
      <c r="S707" s="595"/>
      <c r="T707" s="595"/>
      <c r="U707" s="595"/>
      <c r="V707" s="595"/>
      <c r="W707" s="594"/>
      <c r="X707" s="594"/>
      <c r="Y707" s="595"/>
      <c r="Z707" s="595"/>
      <c r="AA707" s="595"/>
      <c r="AB707" s="595"/>
      <c r="AC707" s="595"/>
    </row>
    <row r="708" spans="1:29" ht="12.75" customHeight="1">
      <c r="A708" s="601"/>
      <c r="B708" s="602"/>
      <c r="C708" s="602"/>
      <c r="D708" s="602"/>
      <c r="E708" s="602"/>
      <c r="F708" s="602"/>
      <c r="G708" s="602"/>
      <c r="H708" s="602"/>
      <c r="I708" s="602"/>
      <c r="J708" s="602"/>
      <c r="K708" s="602"/>
      <c r="L708" s="603"/>
      <c r="M708" s="603"/>
      <c r="N708" s="603"/>
      <c r="O708" s="603"/>
      <c r="P708" s="603"/>
      <c r="Q708" s="595"/>
      <c r="R708" s="595"/>
      <c r="S708" s="595"/>
      <c r="T708" s="595"/>
      <c r="U708" s="595"/>
      <c r="V708" s="595"/>
      <c r="W708" s="594"/>
      <c r="X708" s="594"/>
      <c r="Y708" s="595"/>
      <c r="Z708" s="595"/>
      <c r="AA708" s="595"/>
      <c r="AB708" s="595"/>
      <c r="AC708" s="595"/>
    </row>
    <row r="709" spans="1:29" ht="12.75" customHeight="1">
      <c r="A709" s="601"/>
      <c r="B709" s="602"/>
      <c r="C709" s="602"/>
      <c r="D709" s="602"/>
      <c r="E709" s="602"/>
      <c r="F709" s="602"/>
      <c r="G709" s="602"/>
      <c r="H709" s="602"/>
      <c r="I709" s="602"/>
      <c r="J709" s="602"/>
      <c r="K709" s="602"/>
      <c r="L709" s="603"/>
      <c r="M709" s="603"/>
      <c r="N709" s="603"/>
      <c r="O709" s="603"/>
      <c r="P709" s="603"/>
      <c r="Q709" s="595"/>
      <c r="R709" s="595"/>
      <c r="S709" s="595"/>
      <c r="T709" s="595"/>
      <c r="U709" s="595"/>
      <c r="V709" s="595"/>
      <c r="W709" s="594"/>
      <c r="X709" s="594"/>
      <c r="Y709" s="595"/>
      <c r="Z709" s="595"/>
      <c r="AA709" s="595"/>
      <c r="AB709" s="595"/>
      <c r="AC709" s="595"/>
    </row>
    <row r="710" spans="1:29" ht="12.75" customHeight="1">
      <c r="A710" s="601"/>
      <c r="B710" s="602"/>
      <c r="C710" s="602"/>
      <c r="D710" s="602"/>
      <c r="E710" s="602"/>
      <c r="F710" s="602"/>
      <c r="G710" s="602"/>
      <c r="H710" s="602"/>
      <c r="I710" s="602"/>
      <c r="J710" s="602"/>
      <c r="K710" s="602"/>
      <c r="L710" s="603"/>
      <c r="M710" s="603"/>
      <c r="N710" s="603"/>
      <c r="O710" s="603"/>
      <c r="P710" s="603"/>
      <c r="Q710" s="595"/>
      <c r="R710" s="595"/>
      <c r="S710" s="595"/>
      <c r="T710" s="595"/>
      <c r="U710" s="595"/>
      <c r="V710" s="595"/>
      <c r="W710" s="594"/>
      <c r="X710" s="594"/>
      <c r="Y710" s="595"/>
      <c r="Z710" s="595"/>
      <c r="AA710" s="595"/>
      <c r="AB710" s="595"/>
      <c r="AC710" s="595"/>
    </row>
    <row r="711" spans="1:29" ht="12.75" customHeight="1">
      <c r="A711" s="601"/>
      <c r="B711" s="602"/>
      <c r="C711" s="602"/>
      <c r="D711" s="602"/>
      <c r="E711" s="602"/>
      <c r="F711" s="602"/>
      <c r="G711" s="602"/>
      <c r="H711" s="602"/>
      <c r="I711" s="602"/>
      <c r="J711" s="602"/>
      <c r="K711" s="602"/>
      <c r="L711" s="603"/>
      <c r="M711" s="603"/>
      <c r="N711" s="603"/>
      <c r="O711" s="603"/>
      <c r="P711" s="603"/>
      <c r="Q711" s="595"/>
      <c r="R711" s="595"/>
      <c r="S711" s="595"/>
      <c r="T711" s="595"/>
      <c r="U711" s="595"/>
      <c r="V711" s="595"/>
      <c r="W711" s="594"/>
      <c r="X711" s="594"/>
      <c r="Y711" s="595"/>
      <c r="Z711" s="595"/>
      <c r="AA711" s="595"/>
      <c r="AB711" s="595"/>
      <c r="AC711" s="595"/>
    </row>
    <row r="712" spans="1:29" ht="12.75" customHeight="1">
      <c r="A712" s="601"/>
      <c r="B712" s="602"/>
      <c r="C712" s="602"/>
      <c r="D712" s="602"/>
      <c r="E712" s="602"/>
      <c r="F712" s="602"/>
      <c r="G712" s="602"/>
      <c r="H712" s="602"/>
      <c r="I712" s="602"/>
      <c r="J712" s="602"/>
      <c r="K712" s="602"/>
      <c r="L712" s="603"/>
      <c r="M712" s="603"/>
      <c r="N712" s="603"/>
      <c r="O712" s="603"/>
      <c r="P712" s="603"/>
      <c r="Q712" s="595"/>
      <c r="R712" s="595"/>
      <c r="S712" s="595"/>
      <c r="T712" s="595"/>
      <c r="U712" s="595"/>
      <c r="V712" s="595"/>
      <c r="W712" s="594"/>
      <c r="X712" s="594"/>
      <c r="Y712" s="595"/>
      <c r="Z712" s="595"/>
      <c r="AA712" s="595"/>
      <c r="AB712" s="595"/>
      <c r="AC712" s="595"/>
    </row>
    <row r="713" spans="1:29" ht="12.75" customHeight="1">
      <c r="A713" s="601"/>
      <c r="B713" s="602"/>
      <c r="C713" s="602"/>
      <c r="D713" s="602"/>
      <c r="E713" s="602"/>
      <c r="F713" s="602"/>
      <c r="G713" s="602"/>
      <c r="H713" s="602"/>
      <c r="I713" s="602"/>
      <c r="J713" s="602"/>
      <c r="K713" s="602"/>
      <c r="L713" s="603"/>
      <c r="M713" s="603"/>
      <c r="N713" s="603"/>
      <c r="O713" s="603"/>
      <c r="P713" s="603"/>
      <c r="Q713" s="595"/>
      <c r="R713" s="595"/>
      <c r="S713" s="595"/>
      <c r="T713" s="595"/>
      <c r="U713" s="595"/>
      <c r="V713" s="595"/>
      <c r="W713" s="594"/>
      <c r="X713" s="594"/>
      <c r="Y713" s="595"/>
      <c r="Z713" s="595"/>
      <c r="AA713" s="595"/>
      <c r="AB713" s="595"/>
      <c r="AC713" s="595"/>
    </row>
    <row r="714" spans="1:29" ht="12.75" customHeight="1">
      <c r="A714" s="601"/>
      <c r="B714" s="602"/>
      <c r="C714" s="602"/>
      <c r="D714" s="602"/>
      <c r="E714" s="602"/>
      <c r="F714" s="602"/>
      <c r="G714" s="602"/>
      <c r="H714" s="602"/>
      <c r="I714" s="602"/>
      <c r="J714" s="602"/>
      <c r="K714" s="602"/>
      <c r="L714" s="603"/>
      <c r="M714" s="603"/>
      <c r="N714" s="603"/>
      <c r="O714" s="603"/>
      <c r="P714" s="603"/>
      <c r="Q714" s="595"/>
      <c r="R714" s="595"/>
      <c r="S714" s="595"/>
      <c r="T714" s="595"/>
      <c r="U714" s="595"/>
      <c r="V714" s="595"/>
      <c r="W714" s="594"/>
      <c r="X714" s="594"/>
      <c r="Y714" s="595"/>
      <c r="Z714" s="595"/>
      <c r="AA714" s="595"/>
      <c r="AB714" s="595"/>
      <c r="AC714" s="595"/>
    </row>
    <row r="715" spans="1:29" ht="12.75" customHeight="1">
      <c r="A715" s="601"/>
      <c r="B715" s="602"/>
      <c r="C715" s="602"/>
      <c r="D715" s="602"/>
      <c r="E715" s="602"/>
      <c r="F715" s="602"/>
      <c r="G715" s="602"/>
      <c r="H715" s="602"/>
      <c r="I715" s="602"/>
      <c r="J715" s="602"/>
      <c r="K715" s="602"/>
      <c r="L715" s="603"/>
      <c r="M715" s="603"/>
      <c r="N715" s="603"/>
      <c r="O715" s="603"/>
      <c r="P715" s="603"/>
      <c r="Q715" s="595"/>
      <c r="R715" s="595"/>
      <c r="S715" s="595"/>
      <c r="T715" s="595"/>
      <c r="U715" s="595"/>
      <c r="V715" s="595"/>
      <c r="W715" s="594"/>
      <c r="X715" s="594"/>
      <c r="Y715" s="595"/>
      <c r="Z715" s="595"/>
      <c r="AA715" s="595"/>
      <c r="AB715" s="595"/>
      <c r="AC715" s="595"/>
    </row>
    <row r="716" spans="1:29" ht="12.75" customHeight="1">
      <c r="A716" s="601"/>
      <c r="B716" s="602"/>
      <c r="C716" s="602"/>
      <c r="D716" s="602"/>
      <c r="E716" s="602"/>
      <c r="F716" s="602"/>
      <c r="G716" s="602"/>
      <c r="H716" s="602"/>
      <c r="I716" s="602"/>
      <c r="J716" s="602"/>
      <c r="K716" s="602"/>
      <c r="L716" s="603"/>
      <c r="M716" s="603"/>
      <c r="N716" s="603"/>
      <c r="O716" s="603"/>
      <c r="P716" s="603"/>
      <c r="Q716" s="595"/>
      <c r="R716" s="595"/>
      <c r="S716" s="595"/>
      <c r="T716" s="595"/>
      <c r="U716" s="595"/>
      <c r="V716" s="595"/>
      <c r="W716" s="594"/>
      <c r="X716" s="594"/>
      <c r="Y716" s="595"/>
      <c r="Z716" s="595"/>
      <c r="AA716" s="595"/>
      <c r="AB716" s="595"/>
      <c r="AC716" s="595"/>
    </row>
    <row r="717" spans="1:29" ht="12.75" customHeight="1">
      <c r="A717" s="601"/>
      <c r="B717" s="602"/>
      <c r="C717" s="602"/>
      <c r="D717" s="602"/>
      <c r="E717" s="602"/>
      <c r="F717" s="602"/>
      <c r="G717" s="602"/>
      <c r="H717" s="602"/>
      <c r="I717" s="602"/>
      <c r="J717" s="602"/>
      <c r="K717" s="602"/>
      <c r="L717" s="603"/>
      <c r="M717" s="603"/>
      <c r="N717" s="603"/>
      <c r="O717" s="603"/>
      <c r="P717" s="603"/>
      <c r="Q717" s="595"/>
      <c r="R717" s="595"/>
      <c r="S717" s="595"/>
      <c r="T717" s="595"/>
      <c r="U717" s="595"/>
      <c r="V717" s="595"/>
      <c r="W717" s="594"/>
      <c r="X717" s="594"/>
      <c r="Y717" s="595"/>
      <c r="Z717" s="595"/>
      <c r="AA717" s="595"/>
      <c r="AB717" s="595"/>
      <c r="AC717" s="595"/>
    </row>
    <row r="718" spans="1:29" ht="12.75" customHeight="1">
      <c r="A718" s="601"/>
      <c r="B718" s="602"/>
      <c r="C718" s="602"/>
      <c r="D718" s="602"/>
      <c r="E718" s="602"/>
      <c r="F718" s="602"/>
      <c r="G718" s="602"/>
      <c r="H718" s="602"/>
      <c r="I718" s="602"/>
      <c r="J718" s="602"/>
      <c r="K718" s="602"/>
      <c r="L718" s="603"/>
      <c r="M718" s="603"/>
      <c r="N718" s="603"/>
      <c r="O718" s="603"/>
      <c r="P718" s="603"/>
      <c r="Q718" s="595"/>
      <c r="R718" s="595"/>
      <c r="S718" s="595"/>
      <c r="T718" s="595"/>
      <c r="U718" s="595"/>
      <c r="V718" s="595"/>
      <c r="W718" s="594"/>
      <c r="X718" s="594"/>
      <c r="Y718" s="595"/>
      <c r="Z718" s="595"/>
      <c r="AA718" s="595"/>
      <c r="AB718" s="595"/>
      <c r="AC718" s="595"/>
    </row>
    <row r="719" spans="1:29" ht="12.75" customHeight="1">
      <c r="A719" s="601"/>
      <c r="B719" s="602"/>
      <c r="C719" s="602"/>
      <c r="D719" s="602"/>
      <c r="E719" s="602"/>
      <c r="F719" s="602"/>
      <c r="G719" s="602"/>
      <c r="H719" s="602"/>
      <c r="I719" s="602"/>
      <c r="J719" s="602"/>
      <c r="K719" s="602"/>
      <c r="L719" s="603"/>
      <c r="M719" s="603"/>
      <c r="N719" s="603"/>
      <c r="O719" s="603"/>
      <c r="P719" s="603"/>
      <c r="Q719" s="595"/>
      <c r="R719" s="595"/>
      <c r="S719" s="595"/>
      <c r="T719" s="595"/>
      <c r="U719" s="595"/>
      <c r="V719" s="595"/>
      <c r="W719" s="594"/>
      <c r="X719" s="594"/>
      <c r="Y719" s="595"/>
      <c r="Z719" s="595"/>
      <c r="AA719" s="595"/>
      <c r="AB719" s="595"/>
      <c r="AC719" s="595"/>
    </row>
    <row r="720" spans="1:29" ht="12.75" customHeight="1">
      <c r="A720" s="601"/>
      <c r="B720" s="602"/>
      <c r="C720" s="602"/>
      <c r="D720" s="602"/>
      <c r="E720" s="602"/>
      <c r="F720" s="602"/>
      <c r="G720" s="602"/>
      <c r="H720" s="602"/>
      <c r="I720" s="602"/>
      <c r="J720" s="602"/>
      <c r="K720" s="602"/>
      <c r="L720" s="603"/>
      <c r="M720" s="603"/>
      <c r="N720" s="603"/>
      <c r="O720" s="603"/>
      <c r="P720" s="603"/>
      <c r="Q720" s="595"/>
      <c r="R720" s="595"/>
      <c r="S720" s="595"/>
      <c r="T720" s="595"/>
      <c r="U720" s="595"/>
      <c r="V720" s="595"/>
      <c r="W720" s="594"/>
      <c r="X720" s="594"/>
      <c r="Y720" s="595"/>
      <c r="Z720" s="595"/>
      <c r="AA720" s="595"/>
      <c r="AB720" s="595"/>
      <c r="AC720" s="595"/>
    </row>
    <row r="721" spans="1:29" ht="12.75" customHeight="1">
      <c r="A721" s="601"/>
      <c r="B721" s="602"/>
      <c r="C721" s="602"/>
      <c r="D721" s="602"/>
      <c r="E721" s="602"/>
      <c r="F721" s="602"/>
      <c r="G721" s="602"/>
      <c r="H721" s="602"/>
      <c r="I721" s="602"/>
      <c r="J721" s="602"/>
      <c r="K721" s="602"/>
      <c r="L721" s="603"/>
      <c r="M721" s="603"/>
      <c r="N721" s="603"/>
      <c r="O721" s="603"/>
      <c r="P721" s="603"/>
      <c r="Q721" s="595"/>
      <c r="R721" s="595"/>
      <c r="S721" s="595"/>
      <c r="T721" s="595"/>
      <c r="U721" s="595"/>
      <c r="V721" s="595"/>
      <c r="W721" s="594"/>
      <c r="X721" s="594"/>
      <c r="Y721" s="595"/>
      <c r="Z721" s="595"/>
      <c r="AA721" s="595"/>
      <c r="AB721" s="595"/>
      <c r="AC721" s="595"/>
    </row>
    <row r="722" spans="1:29" ht="12.75" customHeight="1">
      <c r="A722" s="601"/>
      <c r="B722" s="602"/>
      <c r="C722" s="602"/>
      <c r="D722" s="602"/>
      <c r="E722" s="602"/>
      <c r="F722" s="602"/>
      <c r="G722" s="602"/>
      <c r="H722" s="602"/>
      <c r="I722" s="602"/>
      <c r="J722" s="602"/>
      <c r="K722" s="602"/>
      <c r="L722" s="603"/>
      <c r="M722" s="603"/>
      <c r="N722" s="603"/>
      <c r="O722" s="603"/>
      <c r="P722" s="603"/>
      <c r="Q722" s="595"/>
      <c r="R722" s="595"/>
      <c r="S722" s="595"/>
      <c r="T722" s="595"/>
      <c r="U722" s="595"/>
      <c r="V722" s="595"/>
      <c r="W722" s="594"/>
      <c r="X722" s="594"/>
      <c r="Y722" s="595"/>
      <c r="Z722" s="595"/>
      <c r="AA722" s="595"/>
      <c r="AB722" s="595"/>
      <c r="AC722" s="595"/>
    </row>
    <row r="723" spans="1:29" ht="12.75" customHeight="1">
      <c r="A723" s="601"/>
      <c r="B723" s="602"/>
      <c r="C723" s="602"/>
      <c r="D723" s="602"/>
      <c r="E723" s="602"/>
      <c r="F723" s="602"/>
      <c r="G723" s="602"/>
      <c r="H723" s="602"/>
      <c r="I723" s="602"/>
      <c r="J723" s="602"/>
      <c r="K723" s="602"/>
      <c r="L723" s="603"/>
      <c r="M723" s="603"/>
      <c r="N723" s="603"/>
      <c r="O723" s="603"/>
      <c r="P723" s="603"/>
      <c r="Q723" s="595"/>
      <c r="R723" s="595"/>
      <c r="S723" s="595"/>
      <c r="T723" s="595"/>
      <c r="U723" s="595"/>
      <c r="V723" s="595"/>
      <c r="W723" s="594"/>
      <c r="X723" s="594"/>
      <c r="Y723" s="595"/>
      <c r="Z723" s="595"/>
      <c r="AA723" s="595"/>
      <c r="AB723" s="595"/>
      <c r="AC723" s="595"/>
    </row>
    <row r="724" spans="1:29" ht="12.75" customHeight="1">
      <c r="A724" s="601"/>
      <c r="B724" s="602"/>
      <c r="C724" s="602"/>
      <c r="D724" s="602"/>
      <c r="E724" s="602"/>
      <c r="F724" s="602"/>
      <c r="G724" s="602"/>
      <c r="H724" s="602"/>
      <c r="I724" s="602"/>
      <c r="J724" s="602"/>
      <c r="K724" s="602"/>
      <c r="L724" s="603"/>
      <c r="M724" s="603"/>
      <c r="N724" s="603"/>
      <c r="O724" s="603"/>
      <c r="P724" s="603"/>
      <c r="Q724" s="595"/>
      <c r="R724" s="595"/>
      <c r="S724" s="595"/>
      <c r="T724" s="595"/>
      <c r="U724" s="595"/>
      <c r="V724" s="595"/>
      <c r="W724" s="594"/>
      <c r="X724" s="594"/>
      <c r="Y724" s="595"/>
      <c r="Z724" s="595"/>
      <c r="AA724" s="595"/>
      <c r="AB724" s="595"/>
      <c r="AC724" s="595"/>
    </row>
    <row r="725" spans="1:29" ht="12.75" customHeight="1">
      <c r="A725" s="601"/>
      <c r="B725" s="602"/>
      <c r="C725" s="602"/>
      <c r="D725" s="602"/>
      <c r="E725" s="602"/>
      <c r="F725" s="602"/>
      <c r="G725" s="602"/>
      <c r="H725" s="602"/>
      <c r="I725" s="602"/>
      <c r="J725" s="602"/>
      <c r="K725" s="602"/>
      <c r="L725" s="603"/>
      <c r="M725" s="603"/>
      <c r="N725" s="603"/>
      <c r="O725" s="603"/>
      <c r="P725" s="603"/>
      <c r="Q725" s="595"/>
      <c r="R725" s="595"/>
      <c r="S725" s="595"/>
      <c r="T725" s="595"/>
      <c r="U725" s="595"/>
      <c r="V725" s="595"/>
      <c r="W725" s="594"/>
      <c r="X725" s="594"/>
      <c r="Y725" s="595"/>
      <c r="Z725" s="595"/>
      <c r="AA725" s="595"/>
      <c r="AB725" s="595"/>
      <c r="AC725" s="595"/>
    </row>
    <row r="726" spans="1:29" ht="12.75" customHeight="1">
      <c r="A726" s="601"/>
      <c r="B726" s="602"/>
      <c r="C726" s="602"/>
      <c r="D726" s="602"/>
      <c r="E726" s="602"/>
      <c r="F726" s="602"/>
      <c r="G726" s="602"/>
      <c r="H726" s="602"/>
      <c r="I726" s="602"/>
      <c r="J726" s="602"/>
      <c r="K726" s="602"/>
      <c r="L726" s="603"/>
      <c r="M726" s="603"/>
      <c r="N726" s="603"/>
      <c r="O726" s="603"/>
      <c r="P726" s="603"/>
      <c r="Q726" s="595"/>
      <c r="R726" s="595"/>
      <c r="S726" s="595"/>
      <c r="T726" s="595"/>
      <c r="U726" s="595"/>
      <c r="V726" s="595"/>
      <c r="W726" s="594"/>
      <c r="X726" s="594"/>
      <c r="Y726" s="595"/>
      <c r="Z726" s="595"/>
      <c r="AA726" s="595"/>
      <c r="AB726" s="595"/>
      <c r="AC726" s="595"/>
    </row>
    <row r="727" spans="1:29" ht="12.75" customHeight="1">
      <c r="A727" s="601"/>
      <c r="B727" s="602"/>
      <c r="C727" s="602"/>
      <c r="D727" s="602"/>
      <c r="E727" s="602"/>
      <c r="F727" s="602"/>
      <c r="G727" s="602"/>
      <c r="H727" s="602"/>
      <c r="I727" s="602"/>
      <c r="J727" s="602"/>
      <c r="K727" s="602"/>
      <c r="L727" s="603"/>
      <c r="M727" s="603"/>
      <c r="N727" s="603"/>
      <c r="O727" s="603"/>
      <c r="P727" s="603"/>
      <c r="Q727" s="595"/>
      <c r="R727" s="595"/>
      <c r="S727" s="595"/>
      <c r="T727" s="595"/>
      <c r="U727" s="595"/>
      <c r="V727" s="595"/>
      <c r="W727" s="594"/>
      <c r="X727" s="594"/>
      <c r="Y727" s="595"/>
      <c r="Z727" s="595"/>
      <c r="AA727" s="595"/>
      <c r="AB727" s="595"/>
      <c r="AC727" s="595"/>
    </row>
    <row r="728" spans="1:29" ht="12.75" customHeight="1">
      <c r="A728" s="601"/>
      <c r="B728" s="602"/>
      <c r="C728" s="602"/>
      <c r="D728" s="602"/>
      <c r="E728" s="602"/>
      <c r="F728" s="602"/>
      <c r="G728" s="602"/>
      <c r="H728" s="602"/>
      <c r="I728" s="602"/>
      <c r="J728" s="602"/>
      <c r="K728" s="602"/>
      <c r="L728" s="603"/>
      <c r="M728" s="603"/>
      <c r="N728" s="603"/>
      <c r="O728" s="603"/>
      <c r="P728" s="603"/>
      <c r="Q728" s="595"/>
      <c r="R728" s="595"/>
      <c r="S728" s="595"/>
      <c r="T728" s="595"/>
      <c r="U728" s="595"/>
      <c r="V728" s="595"/>
      <c r="W728" s="594"/>
      <c r="X728" s="594"/>
      <c r="Y728" s="595"/>
      <c r="Z728" s="595"/>
      <c r="AA728" s="595"/>
      <c r="AB728" s="595"/>
      <c r="AC728" s="595"/>
    </row>
    <row r="729" spans="1:29" ht="12.75" customHeight="1">
      <c r="A729" s="601"/>
      <c r="B729" s="602"/>
      <c r="C729" s="602"/>
      <c r="D729" s="602"/>
      <c r="E729" s="602"/>
      <c r="F729" s="602"/>
      <c r="G729" s="602"/>
      <c r="H729" s="602"/>
      <c r="I729" s="602"/>
      <c r="J729" s="602"/>
      <c r="K729" s="602"/>
      <c r="L729" s="603"/>
      <c r="M729" s="603"/>
      <c r="N729" s="603"/>
      <c r="O729" s="603"/>
      <c r="P729" s="603"/>
      <c r="Q729" s="595"/>
      <c r="R729" s="595"/>
      <c r="S729" s="595"/>
      <c r="T729" s="595"/>
      <c r="U729" s="595"/>
      <c r="V729" s="595"/>
      <c r="W729" s="594"/>
      <c r="X729" s="594"/>
      <c r="Y729" s="595"/>
      <c r="Z729" s="595"/>
      <c r="AA729" s="595"/>
      <c r="AB729" s="595"/>
      <c r="AC729" s="595"/>
    </row>
    <row r="730" spans="1:29" ht="12.75" customHeight="1">
      <c r="A730" s="601"/>
      <c r="B730" s="602"/>
      <c r="C730" s="602"/>
      <c r="D730" s="602"/>
      <c r="E730" s="602"/>
      <c r="F730" s="602"/>
      <c r="G730" s="602"/>
      <c r="H730" s="602"/>
      <c r="I730" s="602"/>
      <c r="J730" s="602"/>
      <c r="K730" s="602"/>
      <c r="L730" s="603"/>
      <c r="M730" s="603"/>
      <c r="N730" s="603"/>
      <c r="O730" s="603"/>
      <c r="P730" s="603"/>
      <c r="Q730" s="595"/>
      <c r="R730" s="595"/>
      <c r="S730" s="595"/>
      <c r="T730" s="595"/>
      <c r="U730" s="595"/>
      <c r="V730" s="595"/>
      <c r="W730" s="594"/>
      <c r="X730" s="594"/>
      <c r="Y730" s="595"/>
      <c r="Z730" s="595"/>
      <c r="AA730" s="595"/>
      <c r="AB730" s="595"/>
      <c r="AC730" s="595"/>
    </row>
    <row r="731" spans="1:29" ht="12.75" customHeight="1">
      <c r="A731" s="601"/>
      <c r="B731" s="602"/>
      <c r="C731" s="602"/>
      <c r="D731" s="602"/>
      <c r="E731" s="602"/>
      <c r="F731" s="602"/>
      <c r="G731" s="602"/>
      <c r="H731" s="602"/>
      <c r="I731" s="602"/>
      <c r="J731" s="602"/>
      <c r="K731" s="602"/>
      <c r="L731" s="603"/>
      <c r="M731" s="603"/>
      <c r="N731" s="603"/>
      <c r="O731" s="603"/>
      <c r="P731" s="603"/>
      <c r="Q731" s="595"/>
      <c r="R731" s="595"/>
      <c r="S731" s="595"/>
      <c r="T731" s="595"/>
      <c r="U731" s="595"/>
      <c r="V731" s="595"/>
      <c r="W731" s="594"/>
      <c r="X731" s="594"/>
      <c r="Y731" s="595"/>
      <c r="Z731" s="595"/>
      <c r="AA731" s="595"/>
      <c r="AB731" s="595"/>
      <c r="AC731" s="595"/>
    </row>
    <row r="732" spans="1:29" ht="12.75" customHeight="1">
      <c r="A732" s="601"/>
      <c r="B732" s="602"/>
      <c r="C732" s="602"/>
      <c r="D732" s="602"/>
      <c r="E732" s="602"/>
      <c r="F732" s="602"/>
      <c r="G732" s="602"/>
      <c r="H732" s="602"/>
      <c r="I732" s="602"/>
      <c r="J732" s="602"/>
      <c r="K732" s="602"/>
      <c r="L732" s="603"/>
      <c r="M732" s="603"/>
      <c r="N732" s="603"/>
      <c r="O732" s="603"/>
      <c r="P732" s="603"/>
      <c r="Q732" s="595"/>
      <c r="R732" s="595"/>
      <c r="S732" s="595"/>
      <c r="T732" s="595"/>
      <c r="U732" s="595"/>
      <c r="V732" s="595"/>
      <c r="W732" s="594"/>
      <c r="X732" s="594"/>
      <c r="Y732" s="595"/>
      <c r="Z732" s="595"/>
      <c r="AA732" s="595"/>
      <c r="AB732" s="595"/>
      <c r="AC732" s="595"/>
    </row>
    <row r="733" spans="1:29" ht="12.75" customHeight="1">
      <c r="A733" s="601"/>
      <c r="B733" s="602"/>
      <c r="C733" s="602"/>
      <c r="D733" s="602"/>
      <c r="E733" s="602"/>
      <c r="F733" s="602"/>
      <c r="G733" s="602"/>
      <c r="H733" s="602"/>
      <c r="I733" s="602"/>
      <c r="J733" s="602"/>
      <c r="K733" s="602"/>
      <c r="L733" s="603"/>
      <c r="M733" s="603"/>
      <c r="N733" s="603"/>
      <c r="O733" s="603"/>
      <c r="P733" s="603"/>
      <c r="Q733" s="595"/>
      <c r="R733" s="595"/>
      <c r="S733" s="595"/>
      <c r="T733" s="595"/>
      <c r="U733" s="595"/>
      <c r="V733" s="595"/>
      <c r="W733" s="594"/>
      <c r="X733" s="594"/>
      <c r="Y733" s="595"/>
      <c r="Z733" s="595"/>
      <c r="AA733" s="595"/>
      <c r="AB733" s="595"/>
      <c r="AC733" s="595"/>
    </row>
    <row r="734" spans="1:29" ht="12.75" customHeight="1">
      <c r="A734" s="601"/>
      <c r="B734" s="602"/>
      <c r="C734" s="602"/>
      <c r="D734" s="602"/>
      <c r="E734" s="602"/>
      <c r="F734" s="602"/>
      <c r="G734" s="602"/>
      <c r="H734" s="602"/>
      <c r="I734" s="602"/>
      <c r="J734" s="602"/>
      <c r="K734" s="602"/>
      <c r="L734" s="603"/>
      <c r="M734" s="603"/>
      <c r="N734" s="603"/>
      <c r="O734" s="603"/>
      <c r="P734" s="603"/>
      <c r="Q734" s="595"/>
      <c r="R734" s="595"/>
      <c r="S734" s="595"/>
      <c r="T734" s="595"/>
      <c r="U734" s="595"/>
      <c r="V734" s="595"/>
      <c r="W734" s="594"/>
      <c r="X734" s="594"/>
      <c r="Y734" s="595"/>
      <c r="Z734" s="595"/>
      <c r="AA734" s="595"/>
      <c r="AB734" s="595"/>
      <c r="AC734" s="595"/>
    </row>
    <row r="735" spans="1:29" ht="12.75" customHeight="1">
      <c r="A735" s="601"/>
      <c r="B735" s="602"/>
      <c r="C735" s="602"/>
      <c r="D735" s="602"/>
      <c r="E735" s="602"/>
      <c r="F735" s="602"/>
      <c r="G735" s="602"/>
      <c r="H735" s="602"/>
      <c r="I735" s="602"/>
      <c r="J735" s="602"/>
      <c r="K735" s="602"/>
      <c r="L735" s="603"/>
      <c r="M735" s="603"/>
      <c r="N735" s="603"/>
      <c r="O735" s="603"/>
      <c r="P735" s="603"/>
      <c r="Q735" s="595"/>
      <c r="R735" s="595"/>
      <c r="S735" s="595"/>
      <c r="T735" s="595"/>
      <c r="U735" s="595"/>
      <c r="V735" s="595"/>
      <c r="W735" s="594"/>
      <c r="X735" s="594"/>
      <c r="Y735" s="595"/>
      <c r="Z735" s="595"/>
      <c r="AA735" s="595"/>
      <c r="AB735" s="595"/>
      <c r="AC735" s="595"/>
    </row>
    <row r="736" spans="1:29" ht="12.75" customHeight="1">
      <c r="A736" s="601"/>
      <c r="B736" s="602"/>
      <c r="C736" s="602"/>
      <c r="D736" s="602"/>
      <c r="E736" s="602"/>
      <c r="F736" s="602"/>
      <c r="G736" s="602"/>
      <c r="H736" s="602"/>
      <c r="I736" s="602"/>
      <c r="J736" s="602"/>
      <c r="K736" s="602"/>
      <c r="L736" s="603"/>
      <c r="M736" s="603"/>
      <c r="N736" s="603"/>
      <c r="O736" s="603"/>
      <c r="P736" s="603"/>
      <c r="Q736" s="595"/>
      <c r="R736" s="595"/>
      <c r="S736" s="595"/>
      <c r="T736" s="595"/>
      <c r="U736" s="595"/>
      <c r="V736" s="595"/>
      <c r="W736" s="594"/>
      <c r="X736" s="594"/>
      <c r="Y736" s="595"/>
      <c r="Z736" s="595"/>
      <c r="AA736" s="595"/>
      <c r="AB736" s="595"/>
      <c r="AC736" s="595"/>
    </row>
    <row r="737" spans="1:29" ht="12.75" customHeight="1">
      <c r="A737" s="601"/>
      <c r="B737" s="602"/>
      <c r="C737" s="602"/>
      <c r="D737" s="602"/>
      <c r="E737" s="602"/>
      <c r="F737" s="602"/>
      <c r="G737" s="602"/>
      <c r="H737" s="602"/>
      <c r="I737" s="602"/>
      <c r="J737" s="602"/>
      <c r="K737" s="602"/>
      <c r="L737" s="603"/>
      <c r="M737" s="603"/>
      <c r="N737" s="603"/>
      <c r="O737" s="603"/>
      <c r="P737" s="603"/>
      <c r="Q737" s="595"/>
      <c r="R737" s="595"/>
      <c r="S737" s="595"/>
      <c r="T737" s="595"/>
      <c r="U737" s="595"/>
      <c r="V737" s="595"/>
      <c r="W737" s="594"/>
      <c r="X737" s="594"/>
      <c r="Y737" s="595"/>
      <c r="Z737" s="595"/>
      <c r="AA737" s="595"/>
      <c r="AB737" s="595"/>
      <c r="AC737" s="595"/>
    </row>
    <row r="738" spans="1:29" ht="12.75" customHeight="1">
      <c r="A738" s="601"/>
      <c r="B738" s="602"/>
      <c r="C738" s="602"/>
      <c r="D738" s="602"/>
      <c r="E738" s="602"/>
      <c r="F738" s="602"/>
      <c r="G738" s="602"/>
      <c r="H738" s="602"/>
      <c r="I738" s="602"/>
      <c r="J738" s="602"/>
      <c r="K738" s="602"/>
      <c r="L738" s="603"/>
      <c r="M738" s="603"/>
      <c r="N738" s="603"/>
      <c r="O738" s="603"/>
      <c r="P738" s="603"/>
      <c r="Q738" s="595"/>
      <c r="R738" s="595"/>
      <c r="S738" s="595"/>
      <c r="T738" s="595"/>
      <c r="U738" s="595"/>
      <c r="V738" s="595"/>
      <c r="W738" s="594"/>
      <c r="X738" s="594"/>
      <c r="Y738" s="595"/>
      <c r="Z738" s="595"/>
      <c r="AA738" s="595"/>
      <c r="AB738" s="595"/>
      <c r="AC738" s="595"/>
    </row>
    <row r="739" spans="1:29" ht="12.75" customHeight="1">
      <c r="A739" s="601"/>
      <c r="B739" s="602"/>
      <c r="C739" s="602"/>
      <c r="D739" s="602"/>
      <c r="E739" s="602"/>
      <c r="F739" s="602"/>
      <c r="G739" s="602"/>
      <c r="H739" s="602"/>
      <c r="I739" s="602"/>
      <c r="J739" s="602"/>
      <c r="K739" s="602"/>
      <c r="L739" s="603"/>
      <c r="M739" s="603"/>
      <c r="N739" s="603"/>
      <c r="O739" s="603"/>
      <c r="P739" s="603"/>
      <c r="Q739" s="595"/>
      <c r="R739" s="595"/>
      <c r="S739" s="595"/>
      <c r="T739" s="595"/>
      <c r="U739" s="595"/>
      <c r="V739" s="595"/>
      <c r="W739" s="594"/>
      <c r="X739" s="594"/>
      <c r="Y739" s="595"/>
      <c r="Z739" s="595"/>
      <c r="AA739" s="595"/>
      <c r="AB739" s="595"/>
      <c r="AC739" s="595"/>
    </row>
    <row r="740" spans="1:29" ht="12.75" customHeight="1">
      <c r="A740" s="601"/>
      <c r="B740" s="602"/>
      <c r="C740" s="602"/>
      <c r="D740" s="602"/>
      <c r="E740" s="602"/>
      <c r="F740" s="602"/>
      <c r="G740" s="602"/>
      <c r="H740" s="602"/>
      <c r="I740" s="602"/>
      <c r="J740" s="602"/>
      <c r="K740" s="602"/>
      <c r="L740" s="603"/>
      <c r="M740" s="603"/>
      <c r="N740" s="603"/>
      <c r="O740" s="603"/>
      <c r="P740" s="603"/>
      <c r="Q740" s="595"/>
      <c r="R740" s="595"/>
      <c r="S740" s="595"/>
      <c r="T740" s="595"/>
      <c r="U740" s="595"/>
      <c r="V740" s="595"/>
      <c r="W740" s="594"/>
      <c r="X740" s="594"/>
      <c r="Y740" s="595"/>
      <c r="Z740" s="595"/>
      <c r="AA740" s="595"/>
      <c r="AB740" s="595"/>
      <c r="AC740" s="595"/>
    </row>
    <row r="741" spans="1:29" ht="12.75" customHeight="1">
      <c r="A741" s="601"/>
      <c r="B741" s="602"/>
      <c r="C741" s="602"/>
      <c r="D741" s="602"/>
      <c r="E741" s="602"/>
      <c r="F741" s="602"/>
      <c r="G741" s="602"/>
      <c r="H741" s="602"/>
      <c r="I741" s="602"/>
      <c r="J741" s="602"/>
      <c r="K741" s="602"/>
      <c r="L741" s="603"/>
      <c r="M741" s="603"/>
      <c r="N741" s="603"/>
      <c r="O741" s="603"/>
      <c r="P741" s="603"/>
      <c r="Q741" s="595"/>
      <c r="R741" s="595"/>
      <c r="S741" s="595"/>
      <c r="T741" s="595"/>
      <c r="U741" s="595"/>
      <c r="V741" s="595"/>
      <c r="W741" s="594"/>
      <c r="X741" s="594"/>
      <c r="Y741" s="595"/>
      <c r="Z741" s="595"/>
      <c r="AA741" s="595"/>
      <c r="AB741" s="595"/>
      <c r="AC741" s="595"/>
    </row>
    <row r="742" spans="1:29" ht="12.75" customHeight="1">
      <c r="A742" s="601"/>
      <c r="B742" s="602"/>
      <c r="C742" s="602"/>
      <c r="D742" s="602"/>
      <c r="E742" s="602"/>
      <c r="F742" s="602"/>
      <c r="G742" s="602"/>
      <c r="H742" s="602"/>
      <c r="I742" s="602"/>
      <c r="J742" s="602"/>
      <c r="K742" s="602"/>
      <c r="L742" s="603"/>
      <c r="M742" s="603"/>
      <c r="N742" s="603"/>
      <c r="O742" s="603"/>
      <c r="P742" s="603"/>
      <c r="Q742" s="595"/>
      <c r="R742" s="595"/>
      <c r="S742" s="595"/>
      <c r="T742" s="595"/>
      <c r="U742" s="595"/>
      <c r="V742" s="595"/>
      <c r="W742" s="594"/>
      <c r="X742" s="594"/>
      <c r="Y742" s="595"/>
      <c r="Z742" s="595"/>
      <c r="AA742" s="595"/>
      <c r="AB742" s="595"/>
      <c r="AC742" s="595"/>
    </row>
    <row r="743" spans="1:29" ht="12.75" customHeight="1">
      <c r="A743" s="601"/>
      <c r="B743" s="602"/>
      <c r="C743" s="602"/>
      <c r="D743" s="602"/>
      <c r="E743" s="602"/>
      <c r="F743" s="602"/>
      <c r="G743" s="602"/>
      <c r="H743" s="602"/>
      <c r="I743" s="602"/>
      <c r="J743" s="602"/>
      <c r="K743" s="602"/>
      <c r="L743" s="603"/>
      <c r="M743" s="603"/>
      <c r="N743" s="603"/>
      <c r="O743" s="603"/>
      <c r="P743" s="603"/>
      <c r="Q743" s="595"/>
      <c r="R743" s="595"/>
      <c r="S743" s="595"/>
      <c r="T743" s="595"/>
      <c r="U743" s="595"/>
      <c r="V743" s="595"/>
      <c r="W743" s="594"/>
      <c r="X743" s="594"/>
      <c r="Y743" s="595"/>
      <c r="Z743" s="595"/>
      <c r="AA743" s="595"/>
      <c r="AB743" s="595"/>
      <c r="AC743" s="595"/>
    </row>
    <row r="744" spans="1:29" ht="12.75" customHeight="1">
      <c r="A744" s="601"/>
      <c r="B744" s="602"/>
      <c r="C744" s="602"/>
      <c r="D744" s="602"/>
      <c r="E744" s="602"/>
      <c r="F744" s="602"/>
      <c r="G744" s="602"/>
      <c r="H744" s="602"/>
      <c r="I744" s="602"/>
      <c r="J744" s="602"/>
      <c r="K744" s="602"/>
      <c r="L744" s="603"/>
      <c r="M744" s="603"/>
      <c r="N744" s="603"/>
      <c r="O744" s="603"/>
      <c r="P744" s="603"/>
      <c r="Q744" s="595"/>
      <c r="R744" s="595"/>
      <c r="S744" s="595"/>
      <c r="T744" s="595"/>
      <c r="U744" s="595"/>
      <c r="V744" s="595"/>
      <c r="W744" s="594"/>
      <c r="X744" s="594"/>
      <c r="Y744" s="595"/>
      <c r="Z744" s="595"/>
      <c r="AA744" s="595"/>
      <c r="AB744" s="595"/>
      <c r="AC744" s="595"/>
    </row>
    <row r="745" spans="1:29" ht="12.75" customHeight="1">
      <c r="A745" s="601"/>
      <c r="B745" s="602"/>
      <c r="C745" s="602"/>
      <c r="D745" s="602"/>
      <c r="E745" s="602"/>
      <c r="F745" s="602"/>
      <c r="G745" s="602"/>
      <c r="H745" s="602"/>
      <c r="I745" s="602"/>
      <c r="J745" s="602"/>
      <c r="K745" s="602"/>
      <c r="L745" s="603"/>
      <c r="M745" s="603"/>
      <c r="N745" s="603"/>
      <c r="O745" s="603"/>
      <c r="P745" s="603"/>
      <c r="Q745" s="595"/>
      <c r="R745" s="595"/>
      <c r="S745" s="595"/>
      <c r="T745" s="595"/>
      <c r="U745" s="595"/>
      <c r="V745" s="595"/>
      <c r="W745" s="594"/>
      <c r="X745" s="594"/>
      <c r="Y745" s="595"/>
      <c r="Z745" s="595"/>
      <c r="AA745" s="595"/>
      <c r="AB745" s="595"/>
      <c r="AC745" s="595"/>
    </row>
    <row r="746" spans="1:29" ht="12.75" customHeight="1">
      <c r="A746" s="601"/>
      <c r="B746" s="602"/>
      <c r="C746" s="602"/>
      <c r="D746" s="602"/>
      <c r="E746" s="602"/>
      <c r="F746" s="602"/>
      <c r="G746" s="602"/>
      <c r="H746" s="602"/>
      <c r="I746" s="602"/>
      <c r="J746" s="602"/>
      <c r="K746" s="602"/>
      <c r="L746" s="603"/>
      <c r="M746" s="603"/>
      <c r="N746" s="603"/>
      <c r="O746" s="603"/>
      <c r="P746" s="603"/>
      <c r="Q746" s="595"/>
      <c r="R746" s="595"/>
      <c r="S746" s="595"/>
      <c r="T746" s="595"/>
      <c r="U746" s="595"/>
      <c r="V746" s="595"/>
      <c r="W746" s="594"/>
      <c r="X746" s="594"/>
      <c r="Y746" s="595"/>
      <c r="Z746" s="595"/>
      <c r="AA746" s="595"/>
      <c r="AB746" s="595"/>
      <c r="AC746" s="595"/>
    </row>
    <row r="747" spans="1:29" ht="12.75" customHeight="1">
      <c r="A747" s="601"/>
      <c r="B747" s="602"/>
      <c r="C747" s="602"/>
      <c r="D747" s="602"/>
      <c r="E747" s="602"/>
      <c r="F747" s="602"/>
      <c r="G747" s="602"/>
      <c r="H747" s="602"/>
      <c r="I747" s="602"/>
      <c r="J747" s="602"/>
      <c r="K747" s="602"/>
      <c r="L747" s="603"/>
      <c r="M747" s="603"/>
      <c r="N747" s="603"/>
      <c r="O747" s="603"/>
      <c r="P747" s="603"/>
      <c r="Q747" s="595"/>
      <c r="R747" s="595"/>
      <c r="S747" s="595"/>
      <c r="T747" s="595"/>
      <c r="U747" s="595"/>
      <c r="V747" s="595"/>
      <c r="W747" s="594"/>
      <c r="X747" s="594"/>
      <c r="Y747" s="595"/>
      <c r="Z747" s="595"/>
      <c r="AA747" s="595"/>
      <c r="AB747" s="595"/>
      <c r="AC747" s="595"/>
    </row>
    <row r="748" spans="1:29" ht="12.75" customHeight="1">
      <c r="A748" s="601"/>
      <c r="B748" s="602"/>
      <c r="C748" s="602"/>
      <c r="D748" s="602"/>
      <c r="E748" s="602"/>
      <c r="F748" s="602"/>
      <c r="G748" s="602"/>
      <c r="H748" s="602"/>
      <c r="I748" s="602"/>
      <c r="J748" s="602"/>
      <c r="K748" s="602"/>
      <c r="L748" s="603"/>
      <c r="M748" s="603"/>
      <c r="N748" s="603"/>
      <c r="O748" s="603"/>
      <c r="P748" s="603"/>
      <c r="Q748" s="595"/>
      <c r="R748" s="595"/>
      <c r="S748" s="595"/>
      <c r="T748" s="595"/>
      <c r="U748" s="595"/>
      <c r="V748" s="595"/>
      <c r="W748" s="594"/>
      <c r="X748" s="594"/>
      <c r="Y748" s="595"/>
      <c r="Z748" s="595"/>
      <c r="AA748" s="595"/>
      <c r="AB748" s="595"/>
      <c r="AC748" s="595"/>
    </row>
    <row r="749" spans="1:29" ht="12.75" customHeight="1">
      <c r="A749" s="601"/>
      <c r="B749" s="602"/>
      <c r="C749" s="602"/>
      <c r="D749" s="602"/>
      <c r="E749" s="602"/>
      <c r="F749" s="602"/>
      <c r="G749" s="602"/>
      <c r="H749" s="602"/>
      <c r="I749" s="602"/>
      <c r="J749" s="602"/>
      <c r="K749" s="602"/>
      <c r="L749" s="603"/>
      <c r="M749" s="603"/>
      <c r="N749" s="603"/>
      <c r="O749" s="603"/>
      <c r="P749" s="603"/>
      <c r="Q749" s="595"/>
      <c r="R749" s="595"/>
      <c r="S749" s="595"/>
      <c r="T749" s="595"/>
      <c r="U749" s="595"/>
      <c r="V749" s="595"/>
      <c r="W749" s="594"/>
      <c r="X749" s="594"/>
      <c r="Y749" s="595"/>
      <c r="Z749" s="595"/>
      <c r="AA749" s="595"/>
      <c r="AB749" s="595"/>
      <c r="AC749" s="595"/>
    </row>
    <row r="750" spans="1:29" ht="12.75" customHeight="1">
      <c r="A750" s="601"/>
      <c r="B750" s="602"/>
      <c r="C750" s="602"/>
      <c r="D750" s="602"/>
      <c r="E750" s="602"/>
      <c r="F750" s="602"/>
      <c r="G750" s="602"/>
      <c r="H750" s="602"/>
      <c r="I750" s="602"/>
      <c r="J750" s="602"/>
      <c r="K750" s="602"/>
      <c r="L750" s="603"/>
      <c r="M750" s="603"/>
      <c r="N750" s="603"/>
      <c r="O750" s="603"/>
      <c r="P750" s="603"/>
      <c r="Q750" s="595"/>
      <c r="R750" s="595"/>
      <c r="S750" s="595"/>
      <c r="T750" s="595"/>
      <c r="U750" s="595"/>
      <c r="V750" s="595"/>
      <c r="W750" s="594"/>
      <c r="X750" s="594"/>
      <c r="Y750" s="595"/>
      <c r="Z750" s="595"/>
      <c r="AA750" s="595"/>
      <c r="AB750" s="595"/>
      <c r="AC750" s="595"/>
    </row>
    <row r="751" spans="1:29" ht="12.75" customHeight="1">
      <c r="A751" s="601"/>
      <c r="B751" s="602"/>
      <c r="C751" s="602"/>
      <c r="D751" s="602"/>
      <c r="E751" s="602"/>
      <c r="F751" s="602"/>
      <c r="G751" s="602"/>
      <c r="H751" s="602"/>
      <c r="I751" s="602"/>
      <c r="J751" s="602"/>
      <c r="K751" s="602"/>
      <c r="L751" s="603"/>
      <c r="M751" s="603"/>
      <c r="N751" s="603"/>
      <c r="O751" s="603"/>
      <c r="P751" s="603"/>
      <c r="Q751" s="595"/>
      <c r="R751" s="595"/>
      <c r="S751" s="595"/>
      <c r="T751" s="595"/>
      <c r="U751" s="595"/>
      <c r="V751" s="595"/>
      <c r="W751" s="594"/>
      <c r="X751" s="594"/>
      <c r="Y751" s="595"/>
      <c r="Z751" s="595"/>
      <c r="AA751" s="595"/>
      <c r="AB751" s="595"/>
      <c r="AC751" s="595"/>
    </row>
    <row r="752" spans="1:29" ht="12.75" customHeight="1">
      <c r="A752" s="601"/>
      <c r="B752" s="602"/>
      <c r="C752" s="602"/>
      <c r="D752" s="602"/>
      <c r="E752" s="602"/>
      <c r="F752" s="602"/>
      <c r="G752" s="602"/>
      <c r="H752" s="602"/>
      <c r="I752" s="602"/>
      <c r="J752" s="602"/>
      <c r="K752" s="602"/>
      <c r="L752" s="603"/>
      <c r="M752" s="603"/>
      <c r="N752" s="603"/>
      <c r="O752" s="603"/>
      <c r="P752" s="603"/>
      <c r="Q752" s="595"/>
      <c r="R752" s="595"/>
      <c r="S752" s="595"/>
      <c r="T752" s="595"/>
      <c r="U752" s="595"/>
      <c r="V752" s="595"/>
      <c r="W752" s="594"/>
      <c r="X752" s="594"/>
      <c r="Y752" s="595"/>
      <c r="Z752" s="595"/>
      <c r="AA752" s="595"/>
      <c r="AB752" s="595"/>
      <c r="AC752" s="595"/>
    </row>
    <row r="753" spans="1:29" ht="12.75" customHeight="1">
      <c r="A753" s="601"/>
      <c r="B753" s="602"/>
      <c r="C753" s="602"/>
      <c r="D753" s="602"/>
      <c r="E753" s="602"/>
      <c r="F753" s="602"/>
      <c r="G753" s="602"/>
      <c r="H753" s="602"/>
      <c r="I753" s="602"/>
      <c r="J753" s="602"/>
      <c r="K753" s="602"/>
      <c r="L753" s="603"/>
      <c r="M753" s="603"/>
      <c r="N753" s="603"/>
      <c r="O753" s="603"/>
      <c r="P753" s="603"/>
      <c r="Q753" s="595"/>
      <c r="R753" s="595"/>
      <c r="S753" s="595"/>
      <c r="T753" s="595"/>
      <c r="U753" s="595"/>
      <c r="V753" s="595"/>
      <c r="W753" s="594"/>
      <c r="X753" s="594"/>
      <c r="Y753" s="595"/>
      <c r="Z753" s="595"/>
      <c r="AA753" s="595"/>
      <c r="AB753" s="595"/>
      <c r="AC753" s="595"/>
    </row>
    <row r="754" spans="1:29" ht="12.75" customHeight="1">
      <c r="A754" s="601"/>
      <c r="B754" s="602"/>
      <c r="C754" s="602"/>
      <c r="D754" s="602"/>
      <c r="E754" s="602"/>
      <c r="F754" s="602"/>
      <c r="G754" s="602"/>
      <c r="H754" s="602"/>
      <c r="I754" s="602"/>
      <c r="J754" s="602"/>
      <c r="K754" s="602"/>
      <c r="L754" s="603"/>
      <c r="M754" s="603"/>
      <c r="N754" s="603"/>
      <c r="O754" s="603"/>
      <c r="P754" s="603"/>
      <c r="Q754" s="595"/>
      <c r="R754" s="595"/>
      <c r="S754" s="595"/>
      <c r="T754" s="595"/>
      <c r="U754" s="595"/>
      <c r="V754" s="595"/>
      <c r="W754" s="594"/>
      <c r="X754" s="594"/>
      <c r="Y754" s="595"/>
      <c r="Z754" s="595"/>
      <c r="AA754" s="595"/>
      <c r="AB754" s="595"/>
      <c r="AC754" s="595"/>
    </row>
    <row r="755" spans="1:29" ht="12.75" customHeight="1">
      <c r="A755" s="601"/>
      <c r="B755" s="602"/>
      <c r="C755" s="602"/>
      <c r="D755" s="602"/>
      <c r="E755" s="602"/>
      <c r="F755" s="602"/>
      <c r="G755" s="602"/>
      <c r="H755" s="602"/>
      <c r="I755" s="602"/>
      <c r="J755" s="602"/>
      <c r="K755" s="602"/>
      <c r="L755" s="603"/>
      <c r="M755" s="603"/>
      <c r="N755" s="603"/>
      <c r="O755" s="603"/>
      <c r="P755" s="603"/>
      <c r="Q755" s="595"/>
      <c r="R755" s="595"/>
      <c r="S755" s="595"/>
      <c r="T755" s="595"/>
      <c r="U755" s="595"/>
      <c r="V755" s="595"/>
      <c r="W755" s="594"/>
      <c r="X755" s="594"/>
      <c r="Y755" s="595"/>
      <c r="Z755" s="595"/>
      <c r="AA755" s="595"/>
      <c r="AB755" s="595"/>
      <c r="AC755" s="595"/>
    </row>
    <row r="756" spans="1:29" ht="12.75" customHeight="1">
      <c r="A756" s="601"/>
      <c r="B756" s="602"/>
      <c r="C756" s="602"/>
      <c r="D756" s="602"/>
      <c r="E756" s="602"/>
      <c r="F756" s="602"/>
      <c r="G756" s="602"/>
      <c r="H756" s="602"/>
      <c r="I756" s="602"/>
      <c r="J756" s="602"/>
      <c r="K756" s="602"/>
      <c r="L756" s="603"/>
      <c r="M756" s="603"/>
      <c r="N756" s="603"/>
      <c r="O756" s="603"/>
      <c r="P756" s="603"/>
      <c r="Q756" s="595"/>
      <c r="R756" s="595"/>
      <c r="S756" s="595"/>
      <c r="T756" s="595"/>
      <c r="U756" s="595"/>
      <c r="V756" s="595"/>
      <c r="W756" s="594"/>
      <c r="X756" s="594"/>
      <c r="Y756" s="595"/>
      <c r="Z756" s="595"/>
      <c r="AA756" s="595"/>
      <c r="AB756" s="595"/>
      <c r="AC756" s="595"/>
    </row>
    <row r="757" spans="1:29" ht="12.75" customHeight="1">
      <c r="A757" s="601"/>
      <c r="B757" s="602"/>
      <c r="C757" s="602"/>
      <c r="D757" s="602"/>
      <c r="E757" s="602"/>
      <c r="F757" s="602"/>
      <c r="G757" s="602"/>
      <c r="H757" s="602"/>
      <c r="I757" s="602"/>
      <c r="J757" s="602"/>
      <c r="K757" s="602"/>
      <c r="L757" s="603"/>
      <c r="M757" s="603"/>
      <c r="N757" s="603"/>
      <c r="O757" s="603"/>
      <c r="P757" s="603"/>
      <c r="Q757" s="595"/>
      <c r="R757" s="595"/>
      <c r="S757" s="595"/>
      <c r="T757" s="595"/>
      <c r="U757" s="595"/>
      <c r="V757" s="595"/>
      <c r="W757" s="594"/>
      <c r="X757" s="594"/>
      <c r="Y757" s="595"/>
      <c r="Z757" s="595"/>
      <c r="AA757" s="595"/>
      <c r="AB757" s="595"/>
      <c r="AC757" s="595"/>
    </row>
    <row r="758" spans="1:29" ht="12.75" customHeight="1">
      <c r="A758" s="601"/>
      <c r="B758" s="602"/>
      <c r="C758" s="602"/>
      <c r="D758" s="602"/>
      <c r="E758" s="602"/>
      <c r="F758" s="602"/>
      <c r="G758" s="602"/>
      <c r="H758" s="602"/>
      <c r="I758" s="602"/>
      <c r="J758" s="602"/>
      <c r="K758" s="602"/>
      <c r="L758" s="603"/>
      <c r="M758" s="603"/>
      <c r="N758" s="603"/>
      <c r="O758" s="603"/>
      <c r="P758" s="603"/>
      <c r="Q758" s="595"/>
      <c r="R758" s="595"/>
      <c r="S758" s="595"/>
      <c r="T758" s="595"/>
      <c r="U758" s="595"/>
      <c r="V758" s="595"/>
      <c r="W758" s="594"/>
      <c r="X758" s="594"/>
      <c r="Y758" s="595"/>
      <c r="Z758" s="595"/>
      <c r="AA758" s="595"/>
      <c r="AB758" s="595"/>
      <c r="AC758" s="595"/>
    </row>
    <row r="759" spans="1:29" ht="12.75" customHeight="1">
      <c r="A759" s="601"/>
      <c r="B759" s="602"/>
      <c r="C759" s="602"/>
      <c r="D759" s="602"/>
      <c r="E759" s="602"/>
      <c r="F759" s="602"/>
      <c r="G759" s="602"/>
      <c r="H759" s="602"/>
      <c r="I759" s="602"/>
      <c r="J759" s="602"/>
      <c r="K759" s="602"/>
      <c r="L759" s="603"/>
      <c r="M759" s="603"/>
      <c r="N759" s="603"/>
      <c r="O759" s="603"/>
      <c r="P759" s="603"/>
      <c r="Q759" s="595"/>
      <c r="R759" s="595"/>
      <c r="S759" s="595"/>
      <c r="T759" s="595"/>
      <c r="U759" s="595"/>
      <c r="V759" s="595"/>
      <c r="W759" s="594"/>
      <c r="X759" s="594"/>
      <c r="Y759" s="595"/>
      <c r="Z759" s="595"/>
      <c r="AA759" s="595"/>
      <c r="AB759" s="595"/>
      <c r="AC759" s="595"/>
    </row>
    <row r="760" spans="1:29" ht="12.75" customHeight="1">
      <c r="A760" s="601"/>
      <c r="B760" s="602"/>
      <c r="C760" s="602"/>
      <c r="D760" s="602"/>
      <c r="E760" s="602"/>
      <c r="F760" s="602"/>
      <c r="G760" s="602"/>
      <c r="H760" s="602"/>
      <c r="I760" s="602"/>
      <c r="J760" s="602"/>
      <c r="K760" s="602"/>
      <c r="L760" s="603"/>
      <c r="M760" s="603"/>
      <c r="N760" s="603"/>
      <c r="O760" s="603"/>
      <c r="P760" s="603"/>
      <c r="Q760" s="595"/>
      <c r="R760" s="595"/>
      <c r="S760" s="595"/>
      <c r="T760" s="595"/>
      <c r="U760" s="595"/>
      <c r="V760" s="595"/>
      <c r="W760" s="594"/>
      <c r="X760" s="594"/>
      <c r="Y760" s="595"/>
      <c r="Z760" s="595"/>
      <c r="AA760" s="595"/>
      <c r="AB760" s="595"/>
      <c r="AC760" s="595"/>
    </row>
    <row r="761" spans="1:29" ht="12.75" customHeight="1">
      <c r="A761" s="601"/>
      <c r="B761" s="602"/>
      <c r="C761" s="602"/>
      <c r="D761" s="602"/>
      <c r="E761" s="602"/>
      <c r="F761" s="602"/>
      <c r="G761" s="602"/>
      <c r="H761" s="602"/>
      <c r="I761" s="602"/>
      <c r="J761" s="602"/>
      <c r="K761" s="602"/>
      <c r="L761" s="603"/>
      <c r="M761" s="603"/>
      <c r="N761" s="603"/>
      <c r="O761" s="603"/>
      <c r="P761" s="603"/>
      <c r="Q761" s="595"/>
      <c r="R761" s="595"/>
      <c r="S761" s="595"/>
      <c r="T761" s="595"/>
      <c r="U761" s="595"/>
      <c r="V761" s="595"/>
      <c r="W761" s="594"/>
      <c r="X761" s="594"/>
      <c r="Y761" s="595"/>
      <c r="Z761" s="595"/>
      <c r="AA761" s="595"/>
      <c r="AB761" s="595"/>
      <c r="AC761" s="595"/>
    </row>
    <row r="762" spans="1:29" ht="12.75" customHeight="1">
      <c r="A762" s="601"/>
      <c r="B762" s="602"/>
      <c r="C762" s="602"/>
      <c r="D762" s="602"/>
      <c r="E762" s="602"/>
      <c r="F762" s="602"/>
      <c r="G762" s="602"/>
      <c r="H762" s="602"/>
      <c r="I762" s="602"/>
      <c r="J762" s="602"/>
      <c r="K762" s="602"/>
      <c r="L762" s="603"/>
      <c r="M762" s="603"/>
      <c r="N762" s="603"/>
      <c r="O762" s="603"/>
      <c r="P762" s="603"/>
      <c r="Q762" s="595"/>
      <c r="R762" s="595"/>
      <c r="S762" s="595"/>
      <c r="T762" s="595"/>
      <c r="U762" s="595"/>
      <c r="V762" s="595"/>
      <c r="W762" s="594"/>
      <c r="X762" s="594"/>
      <c r="Y762" s="595"/>
      <c r="Z762" s="595"/>
      <c r="AA762" s="595"/>
      <c r="AB762" s="595"/>
      <c r="AC762" s="595"/>
    </row>
    <row r="763" spans="1:29" ht="12.75" customHeight="1">
      <c r="A763" s="601"/>
      <c r="B763" s="602"/>
      <c r="C763" s="602"/>
      <c r="D763" s="602"/>
      <c r="E763" s="602"/>
      <c r="F763" s="602"/>
      <c r="G763" s="602"/>
      <c r="H763" s="602"/>
      <c r="I763" s="602"/>
      <c r="J763" s="602"/>
      <c r="K763" s="602"/>
      <c r="L763" s="603"/>
      <c r="M763" s="603"/>
      <c r="N763" s="603"/>
      <c r="O763" s="603"/>
      <c r="P763" s="603"/>
      <c r="Q763" s="595"/>
      <c r="R763" s="595"/>
      <c r="S763" s="595"/>
      <c r="T763" s="595"/>
      <c r="U763" s="595"/>
      <c r="V763" s="595"/>
      <c r="W763" s="594"/>
      <c r="X763" s="594"/>
      <c r="Y763" s="595"/>
      <c r="Z763" s="595"/>
      <c r="AA763" s="595"/>
      <c r="AB763" s="595"/>
      <c r="AC763" s="595"/>
    </row>
    <row r="764" spans="1:29" ht="12.75" customHeight="1">
      <c r="A764" s="601"/>
      <c r="B764" s="602"/>
      <c r="C764" s="602"/>
      <c r="D764" s="602"/>
      <c r="E764" s="602"/>
      <c r="F764" s="602"/>
      <c r="G764" s="602"/>
      <c r="H764" s="602"/>
      <c r="I764" s="602"/>
      <c r="J764" s="602"/>
      <c r="K764" s="602"/>
      <c r="L764" s="603"/>
      <c r="M764" s="603"/>
      <c r="N764" s="603"/>
      <c r="O764" s="603"/>
      <c r="P764" s="603"/>
      <c r="Q764" s="595"/>
      <c r="R764" s="595"/>
      <c r="S764" s="595"/>
      <c r="T764" s="595"/>
      <c r="U764" s="595"/>
      <c r="V764" s="595"/>
      <c r="W764" s="594"/>
      <c r="X764" s="594"/>
      <c r="Y764" s="595"/>
      <c r="Z764" s="595"/>
      <c r="AA764" s="595"/>
      <c r="AB764" s="595"/>
      <c r="AC764" s="595"/>
    </row>
    <row r="765" spans="1:29" ht="12.75" customHeight="1">
      <c r="A765" s="601"/>
      <c r="B765" s="602"/>
      <c r="C765" s="602"/>
      <c r="D765" s="602"/>
      <c r="E765" s="602"/>
      <c r="F765" s="602"/>
      <c r="G765" s="602"/>
      <c r="H765" s="602"/>
      <c r="I765" s="602"/>
      <c r="J765" s="602"/>
      <c r="K765" s="602"/>
      <c r="L765" s="603"/>
      <c r="M765" s="603"/>
      <c r="N765" s="603"/>
      <c r="O765" s="603"/>
      <c r="P765" s="603"/>
      <c r="Q765" s="595"/>
      <c r="R765" s="595"/>
      <c r="S765" s="595"/>
      <c r="T765" s="595"/>
      <c r="U765" s="595"/>
      <c r="V765" s="595"/>
      <c r="W765" s="594"/>
      <c r="X765" s="594"/>
      <c r="Y765" s="595"/>
      <c r="Z765" s="595"/>
      <c r="AA765" s="595"/>
      <c r="AB765" s="595"/>
      <c r="AC765" s="595"/>
    </row>
    <row r="766" spans="1:29" ht="12.75" customHeight="1">
      <c r="A766" s="601"/>
      <c r="B766" s="602"/>
      <c r="C766" s="602"/>
      <c r="D766" s="602"/>
      <c r="E766" s="602"/>
      <c r="F766" s="602"/>
      <c r="G766" s="602"/>
      <c r="H766" s="602"/>
      <c r="I766" s="602"/>
      <c r="J766" s="602"/>
      <c r="K766" s="602"/>
      <c r="L766" s="603"/>
      <c r="M766" s="603"/>
      <c r="N766" s="603"/>
      <c r="O766" s="603"/>
      <c r="P766" s="603"/>
      <c r="Q766" s="595"/>
      <c r="R766" s="595"/>
      <c r="S766" s="595"/>
      <c r="T766" s="595"/>
      <c r="U766" s="595"/>
      <c r="V766" s="595"/>
      <c r="W766" s="594"/>
      <c r="X766" s="594"/>
      <c r="Y766" s="595"/>
      <c r="Z766" s="595"/>
      <c r="AA766" s="595"/>
      <c r="AB766" s="595"/>
      <c r="AC766" s="595"/>
    </row>
    <row r="767" spans="1:29" ht="12.75" customHeight="1">
      <c r="A767" s="601"/>
      <c r="B767" s="602"/>
      <c r="C767" s="602"/>
      <c r="D767" s="602"/>
      <c r="E767" s="602"/>
      <c r="F767" s="602"/>
      <c r="G767" s="602"/>
      <c r="H767" s="602"/>
      <c r="I767" s="602"/>
      <c r="J767" s="602"/>
      <c r="K767" s="602"/>
      <c r="L767" s="603"/>
      <c r="M767" s="603"/>
      <c r="N767" s="603"/>
      <c r="O767" s="603"/>
      <c r="P767" s="603"/>
      <c r="Q767" s="595"/>
      <c r="R767" s="595"/>
      <c r="S767" s="595"/>
      <c r="T767" s="595"/>
      <c r="U767" s="595"/>
      <c r="V767" s="595"/>
      <c r="W767" s="594"/>
      <c r="X767" s="594"/>
      <c r="Y767" s="595"/>
      <c r="Z767" s="595"/>
      <c r="AA767" s="595"/>
      <c r="AB767" s="595"/>
      <c r="AC767" s="595"/>
    </row>
    <row r="768" spans="1:29" ht="12.75" customHeight="1">
      <c r="A768" s="601"/>
      <c r="B768" s="602"/>
      <c r="C768" s="602"/>
      <c r="D768" s="602"/>
      <c r="E768" s="602"/>
      <c r="F768" s="602"/>
      <c r="G768" s="602"/>
      <c r="H768" s="602"/>
      <c r="I768" s="602"/>
      <c r="J768" s="602"/>
      <c r="K768" s="602"/>
      <c r="L768" s="603"/>
      <c r="M768" s="603"/>
      <c r="N768" s="603"/>
      <c r="O768" s="603"/>
      <c r="P768" s="603"/>
      <c r="Q768" s="595"/>
      <c r="R768" s="595"/>
      <c r="S768" s="595"/>
      <c r="T768" s="595"/>
      <c r="U768" s="595"/>
      <c r="V768" s="595"/>
      <c r="W768" s="594"/>
      <c r="X768" s="594"/>
      <c r="Y768" s="595"/>
      <c r="Z768" s="595"/>
      <c r="AA768" s="595"/>
      <c r="AB768" s="595"/>
      <c r="AC768" s="595"/>
    </row>
    <row r="769" spans="1:29" ht="12.75" customHeight="1">
      <c r="A769" s="601"/>
      <c r="B769" s="602"/>
      <c r="C769" s="602"/>
      <c r="D769" s="602"/>
      <c r="E769" s="602"/>
      <c r="F769" s="602"/>
      <c r="G769" s="602"/>
      <c r="H769" s="602"/>
      <c r="I769" s="602"/>
      <c r="J769" s="602"/>
      <c r="K769" s="602"/>
      <c r="L769" s="603"/>
      <c r="M769" s="603"/>
      <c r="N769" s="603"/>
      <c r="O769" s="603"/>
      <c r="P769" s="603"/>
      <c r="Q769" s="595"/>
      <c r="R769" s="595"/>
      <c r="S769" s="595"/>
      <c r="T769" s="595"/>
      <c r="U769" s="595"/>
      <c r="V769" s="595"/>
      <c r="W769" s="594"/>
      <c r="X769" s="594"/>
      <c r="Y769" s="595"/>
      <c r="Z769" s="595"/>
      <c r="AA769" s="595"/>
      <c r="AB769" s="595"/>
      <c r="AC769" s="595"/>
    </row>
    <row r="770" spans="1:29" ht="12.75" customHeight="1">
      <c r="A770" s="601"/>
      <c r="B770" s="602"/>
      <c r="C770" s="602"/>
      <c r="D770" s="602"/>
      <c r="E770" s="602"/>
      <c r="F770" s="602"/>
      <c r="G770" s="602"/>
      <c r="H770" s="602"/>
      <c r="I770" s="602"/>
      <c r="J770" s="602"/>
      <c r="K770" s="602"/>
      <c r="L770" s="603"/>
      <c r="M770" s="603"/>
      <c r="N770" s="603"/>
      <c r="O770" s="603"/>
      <c r="P770" s="603"/>
      <c r="Q770" s="595"/>
      <c r="R770" s="595"/>
      <c r="S770" s="595"/>
      <c r="T770" s="595"/>
      <c r="U770" s="595"/>
      <c r="V770" s="595"/>
      <c r="W770" s="594"/>
      <c r="X770" s="594"/>
      <c r="Y770" s="595"/>
      <c r="Z770" s="595"/>
      <c r="AA770" s="595"/>
      <c r="AB770" s="595"/>
      <c r="AC770" s="595"/>
    </row>
    <row r="771" spans="1:29" ht="12.75" customHeight="1">
      <c r="A771" s="601"/>
      <c r="B771" s="602"/>
      <c r="C771" s="602"/>
      <c r="D771" s="602"/>
      <c r="E771" s="602"/>
      <c r="F771" s="602"/>
      <c r="G771" s="602"/>
      <c r="H771" s="602"/>
      <c r="I771" s="602"/>
      <c r="J771" s="602"/>
      <c r="K771" s="602"/>
      <c r="L771" s="603"/>
      <c r="M771" s="603"/>
      <c r="N771" s="603"/>
      <c r="O771" s="603"/>
      <c r="P771" s="603"/>
      <c r="Q771" s="595"/>
      <c r="R771" s="595"/>
      <c r="S771" s="595"/>
      <c r="T771" s="595"/>
      <c r="U771" s="595"/>
      <c r="V771" s="595"/>
      <c r="W771" s="594"/>
      <c r="X771" s="594"/>
      <c r="Y771" s="595"/>
      <c r="Z771" s="595"/>
      <c r="AA771" s="595"/>
      <c r="AB771" s="595"/>
      <c r="AC771" s="595"/>
    </row>
    <row r="772" spans="1:29" ht="12.75" customHeight="1">
      <c r="A772" s="601"/>
      <c r="B772" s="602"/>
      <c r="C772" s="602"/>
      <c r="D772" s="602"/>
      <c r="E772" s="602"/>
      <c r="F772" s="602"/>
      <c r="G772" s="602"/>
      <c r="H772" s="602"/>
      <c r="I772" s="602"/>
      <c r="J772" s="602"/>
      <c r="K772" s="602"/>
      <c r="L772" s="603"/>
      <c r="M772" s="603"/>
      <c r="N772" s="603"/>
      <c r="O772" s="603"/>
      <c r="P772" s="603"/>
      <c r="Q772" s="595"/>
      <c r="R772" s="595"/>
      <c r="S772" s="595"/>
      <c r="T772" s="595"/>
      <c r="U772" s="595"/>
      <c r="V772" s="595"/>
      <c r="W772" s="594"/>
      <c r="X772" s="594"/>
      <c r="Y772" s="595"/>
      <c r="Z772" s="595"/>
      <c r="AA772" s="595"/>
      <c r="AB772" s="595"/>
      <c r="AC772" s="595"/>
    </row>
    <row r="773" spans="1:29" ht="12.75" customHeight="1">
      <c r="A773" s="601"/>
      <c r="B773" s="602"/>
      <c r="C773" s="602"/>
      <c r="D773" s="602"/>
      <c r="E773" s="602"/>
      <c r="F773" s="602"/>
      <c r="G773" s="602"/>
      <c r="H773" s="602"/>
      <c r="I773" s="602"/>
      <c r="J773" s="602"/>
      <c r="K773" s="602"/>
      <c r="L773" s="603"/>
      <c r="M773" s="603"/>
      <c r="N773" s="603"/>
      <c r="O773" s="603"/>
      <c r="P773" s="603"/>
      <c r="Q773" s="595"/>
      <c r="R773" s="595"/>
      <c r="S773" s="595"/>
      <c r="T773" s="595"/>
      <c r="U773" s="595"/>
      <c r="V773" s="595"/>
      <c r="W773" s="594"/>
      <c r="X773" s="594"/>
      <c r="Y773" s="595"/>
      <c r="Z773" s="595"/>
      <c r="AA773" s="595"/>
      <c r="AB773" s="595"/>
      <c r="AC773" s="595"/>
    </row>
    <row r="774" spans="1:29" ht="12.75" customHeight="1">
      <c r="A774" s="601"/>
      <c r="B774" s="602"/>
      <c r="C774" s="602"/>
      <c r="D774" s="602"/>
      <c r="E774" s="602"/>
      <c r="F774" s="602"/>
      <c r="G774" s="602"/>
      <c r="H774" s="602"/>
      <c r="I774" s="602"/>
      <c r="J774" s="602"/>
      <c r="K774" s="602"/>
      <c r="L774" s="603"/>
      <c r="M774" s="603"/>
      <c r="N774" s="603"/>
      <c r="O774" s="603"/>
      <c r="P774" s="603"/>
      <c r="Q774" s="595"/>
      <c r="R774" s="595"/>
      <c r="S774" s="595"/>
      <c r="T774" s="595"/>
      <c r="U774" s="595"/>
      <c r="V774" s="595"/>
      <c r="W774" s="594"/>
      <c r="X774" s="594"/>
      <c r="Y774" s="595"/>
      <c r="Z774" s="595"/>
      <c r="AA774" s="595"/>
      <c r="AB774" s="595"/>
      <c r="AC774" s="595"/>
    </row>
    <row r="775" spans="1:29" ht="12.75" customHeight="1">
      <c r="A775" s="601"/>
      <c r="B775" s="602"/>
      <c r="C775" s="602"/>
      <c r="D775" s="602"/>
      <c r="E775" s="602"/>
      <c r="F775" s="602"/>
      <c r="G775" s="602"/>
      <c r="H775" s="602"/>
      <c r="I775" s="602"/>
      <c r="J775" s="602"/>
      <c r="K775" s="602"/>
      <c r="L775" s="603"/>
      <c r="M775" s="603"/>
      <c r="N775" s="603"/>
      <c r="O775" s="603"/>
      <c r="P775" s="603"/>
      <c r="Q775" s="595"/>
      <c r="R775" s="595"/>
      <c r="S775" s="595"/>
      <c r="T775" s="595"/>
      <c r="U775" s="595"/>
      <c r="V775" s="595"/>
      <c r="W775" s="594"/>
      <c r="X775" s="594"/>
      <c r="Y775" s="595"/>
      <c r="Z775" s="595"/>
      <c r="AA775" s="595"/>
      <c r="AB775" s="595"/>
      <c r="AC775" s="595"/>
    </row>
    <row r="776" spans="1:29" ht="12.75" customHeight="1">
      <c r="A776" s="601"/>
      <c r="B776" s="602"/>
      <c r="C776" s="602"/>
      <c r="D776" s="602"/>
      <c r="E776" s="602"/>
      <c r="F776" s="602"/>
      <c r="G776" s="602"/>
      <c r="H776" s="602"/>
      <c r="I776" s="602"/>
      <c r="J776" s="602"/>
      <c r="K776" s="602"/>
      <c r="L776" s="603"/>
      <c r="M776" s="603"/>
      <c r="N776" s="603"/>
      <c r="O776" s="603"/>
      <c r="P776" s="603"/>
      <c r="Q776" s="595"/>
      <c r="R776" s="595"/>
      <c r="S776" s="595"/>
      <c r="T776" s="595"/>
      <c r="U776" s="595"/>
      <c r="V776" s="595"/>
      <c r="W776" s="594"/>
      <c r="X776" s="594"/>
      <c r="Y776" s="595"/>
      <c r="Z776" s="595"/>
      <c r="AA776" s="595"/>
      <c r="AB776" s="595"/>
      <c r="AC776" s="595"/>
    </row>
    <row r="777" spans="1:29" ht="12.75" customHeight="1">
      <c r="A777" s="601"/>
      <c r="B777" s="602"/>
      <c r="C777" s="602"/>
      <c r="D777" s="602"/>
      <c r="E777" s="602"/>
      <c r="F777" s="602"/>
      <c r="G777" s="602"/>
      <c r="H777" s="602"/>
      <c r="I777" s="602"/>
      <c r="J777" s="602"/>
      <c r="K777" s="602"/>
      <c r="L777" s="603"/>
      <c r="M777" s="603"/>
      <c r="N777" s="603"/>
      <c r="O777" s="603"/>
      <c r="P777" s="603"/>
      <c r="Q777" s="595"/>
      <c r="R777" s="595"/>
      <c r="S777" s="595"/>
      <c r="T777" s="595"/>
      <c r="U777" s="595"/>
      <c r="V777" s="595"/>
      <c r="W777" s="594"/>
      <c r="X777" s="594"/>
      <c r="Y777" s="595"/>
      <c r="Z777" s="595"/>
      <c r="AA777" s="595"/>
      <c r="AB777" s="595"/>
      <c r="AC777" s="595"/>
    </row>
    <row r="778" spans="1:29" ht="12.75" customHeight="1">
      <c r="A778" s="601"/>
      <c r="B778" s="602"/>
      <c r="C778" s="602"/>
      <c r="D778" s="602"/>
      <c r="E778" s="602"/>
      <c r="F778" s="602"/>
      <c r="G778" s="602"/>
      <c r="H778" s="602"/>
      <c r="I778" s="602"/>
      <c r="J778" s="602"/>
      <c r="K778" s="602"/>
      <c r="L778" s="603"/>
      <c r="M778" s="603"/>
      <c r="N778" s="603"/>
      <c r="O778" s="603"/>
      <c r="P778" s="603"/>
      <c r="Q778" s="595"/>
      <c r="R778" s="595"/>
      <c r="S778" s="595"/>
      <c r="T778" s="595"/>
      <c r="U778" s="595"/>
      <c r="V778" s="595"/>
      <c r="W778" s="594"/>
      <c r="X778" s="594"/>
      <c r="Y778" s="595"/>
      <c r="Z778" s="595"/>
      <c r="AA778" s="595"/>
      <c r="AB778" s="595"/>
      <c r="AC778" s="595"/>
    </row>
    <row r="779" spans="1:29" ht="12.75" customHeight="1">
      <c r="A779" s="601"/>
      <c r="B779" s="602"/>
      <c r="C779" s="602"/>
      <c r="D779" s="602"/>
      <c r="E779" s="602"/>
      <c r="F779" s="602"/>
      <c r="G779" s="602"/>
      <c r="H779" s="602"/>
      <c r="I779" s="602"/>
      <c r="J779" s="602"/>
      <c r="K779" s="602"/>
      <c r="L779" s="603"/>
      <c r="M779" s="603"/>
      <c r="N779" s="603"/>
      <c r="O779" s="603"/>
      <c r="P779" s="603"/>
      <c r="Q779" s="595"/>
      <c r="R779" s="595"/>
      <c r="S779" s="595"/>
      <c r="T779" s="595"/>
      <c r="U779" s="595"/>
      <c r="V779" s="595"/>
      <c r="W779" s="594"/>
      <c r="X779" s="594"/>
      <c r="Y779" s="595"/>
      <c r="Z779" s="595"/>
      <c r="AA779" s="595"/>
      <c r="AB779" s="595"/>
      <c r="AC779" s="595"/>
    </row>
    <row r="780" spans="1:29" ht="12.75" customHeight="1">
      <c r="A780" s="601"/>
      <c r="B780" s="602"/>
      <c r="C780" s="602"/>
      <c r="D780" s="602"/>
      <c r="E780" s="602"/>
      <c r="F780" s="602"/>
      <c r="G780" s="602"/>
      <c r="H780" s="602"/>
      <c r="I780" s="602"/>
      <c r="J780" s="602"/>
      <c r="K780" s="602"/>
      <c r="L780" s="603"/>
      <c r="M780" s="603"/>
      <c r="N780" s="603"/>
      <c r="O780" s="603"/>
      <c r="P780" s="603"/>
      <c r="Q780" s="595"/>
      <c r="R780" s="595"/>
      <c r="S780" s="595"/>
      <c r="T780" s="595"/>
      <c r="U780" s="595"/>
      <c r="V780" s="595"/>
      <c r="W780" s="594"/>
      <c r="X780" s="594"/>
      <c r="Y780" s="595"/>
      <c r="Z780" s="595"/>
      <c r="AA780" s="595"/>
      <c r="AB780" s="595"/>
      <c r="AC780" s="595"/>
    </row>
    <row r="781" spans="1:29" ht="12.75" customHeight="1">
      <c r="A781" s="601"/>
      <c r="B781" s="602"/>
      <c r="C781" s="602"/>
      <c r="D781" s="602"/>
      <c r="E781" s="602"/>
      <c r="F781" s="602"/>
      <c r="G781" s="602"/>
      <c r="H781" s="602"/>
      <c r="I781" s="602"/>
      <c r="J781" s="602"/>
      <c r="K781" s="602"/>
      <c r="L781" s="603"/>
      <c r="M781" s="603"/>
      <c r="N781" s="603"/>
      <c r="O781" s="603"/>
      <c r="P781" s="603"/>
      <c r="Q781" s="595"/>
      <c r="R781" s="595"/>
      <c r="S781" s="595"/>
      <c r="T781" s="595"/>
      <c r="U781" s="595"/>
      <c r="V781" s="595"/>
      <c r="W781" s="594"/>
      <c r="X781" s="594"/>
      <c r="Y781" s="595"/>
      <c r="Z781" s="595"/>
      <c r="AA781" s="595"/>
      <c r="AB781" s="595"/>
      <c r="AC781" s="595"/>
    </row>
    <row r="782" spans="1:29" ht="12.75" customHeight="1">
      <c r="A782" s="601"/>
      <c r="B782" s="602"/>
      <c r="C782" s="602"/>
      <c r="D782" s="602"/>
      <c r="E782" s="602"/>
      <c r="F782" s="602"/>
      <c r="G782" s="602"/>
      <c r="H782" s="602"/>
      <c r="I782" s="602"/>
      <c r="J782" s="602"/>
      <c r="K782" s="602"/>
      <c r="L782" s="603"/>
      <c r="M782" s="603"/>
      <c r="N782" s="603"/>
      <c r="O782" s="603"/>
      <c r="P782" s="603"/>
      <c r="Q782" s="595"/>
      <c r="R782" s="595"/>
      <c r="S782" s="595"/>
      <c r="T782" s="595"/>
      <c r="U782" s="595"/>
      <c r="V782" s="595"/>
      <c r="W782" s="594"/>
      <c r="X782" s="594"/>
      <c r="Y782" s="595"/>
      <c r="Z782" s="595"/>
      <c r="AA782" s="595"/>
      <c r="AB782" s="595"/>
      <c r="AC782" s="595"/>
    </row>
    <row r="783" spans="1:29" ht="12.75" customHeight="1">
      <c r="A783" s="601"/>
      <c r="B783" s="602"/>
      <c r="C783" s="602"/>
      <c r="D783" s="602"/>
      <c r="E783" s="602"/>
      <c r="F783" s="602"/>
      <c r="G783" s="602"/>
      <c r="H783" s="602"/>
      <c r="I783" s="602"/>
      <c r="J783" s="602"/>
      <c r="K783" s="602"/>
      <c r="L783" s="603"/>
      <c r="M783" s="603"/>
      <c r="N783" s="603"/>
      <c r="O783" s="603"/>
      <c r="P783" s="603"/>
      <c r="Q783" s="595"/>
      <c r="R783" s="595"/>
      <c r="S783" s="595"/>
      <c r="T783" s="595"/>
      <c r="U783" s="595"/>
      <c r="V783" s="595"/>
      <c r="W783" s="594"/>
      <c r="X783" s="594"/>
      <c r="Y783" s="595"/>
      <c r="Z783" s="595"/>
      <c r="AA783" s="595"/>
      <c r="AB783" s="595"/>
      <c r="AC783" s="595"/>
    </row>
    <row r="784" spans="1:29" ht="12.75" customHeight="1">
      <c r="A784" s="601"/>
      <c r="B784" s="602"/>
      <c r="C784" s="602"/>
      <c r="D784" s="602"/>
      <c r="E784" s="602"/>
      <c r="F784" s="602"/>
      <c r="G784" s="602"/>
      <c r="H784" s="602"/>
      <c r="I784" s="602"/>
      <c r="J784" s="602"/>
      <c r="K784" s="602"/>
      <c r="L784" s="603"/>
      <c r="M784" s="603"/>
      <c r="N784" s="603"/>
      <c r="O784" s="603"/>
      <c r="P784" s="603"/>
      <c r="Q784" s="595"/>
      <c r="R784" s="595"/>
      <c r="S784" s="595"/>
      <c r="T784" s="595"/>
      <c r="U784" s="595"/>
      <c r="V784" s="595"/>
      <c r="W784" s="594"/>
      <c r="X784" s="594"/>
      <c r="Y784" s="595"/>
      <c r="Z784" s="595"/>
      <c r="AA784" s="595"/>
      <c r="AB784" s="595"/>
      <c r="AC784" s="595"/>
    </row>
    <row r="785" spans="1:29" ht="12.75" customHeight="1">
      <c r="A785" s="601"/>
      <c r="B785" s="602"/>
      <c r="C785" s="602"/>
      <c r="D785" s="602"/>
      <c r="E785" s="602"/>
      <c r="F785" s="602"/>
      <c r="G785" s="602"/>
      <c r="H785" s="602"/>
      <c r="I785" s="602"/>
      <c r="J785" s="602"/>
      <c r="K785" s="602"/>
      <c r="L785" s="603"/>
      <c r="M785" s="603"/>
      <c r="N785" s="603"/>
      <c r="O785" s="603"/>
      <c r="P785" s="603"/>
      <c r="Q785" s="595"/>
      <c r="R785" s="595"/>
      <c r="S785" s="595"/>
      <c r="T785" s="595"/>
      <c r="U785" s="595"/>
      <c r="V785" s="595"/>
      <c r="W785" s="594"/>
      <c r="X785" s="594"/>
      <c r="Y785" s="595"/>
      <c r="Z785" s="595"/>
      <c r="AA785" s="595"/>
      <c r="AB785" s="595"/>
      <c r="AC785" s="595"/>
    </row>
    <row r="786" spans="1:29" ht="12.75" customHeight="1">
      <c r="A786" s="601"/>
      <c r="B786" s="602"/>
      <c r="C786" s="602"/>
      <c r="D786" s="602"/>
      <c r="E786" s="602"/>
      <c r="F786" s="602"/>
      <c r="G786" s="602"/>
      <c r="H786" s="602"/>
      <c r="I786" s="602"/>
      <c r="J786" s="602"/>
      <c r="K786" s="602"/>
      <c r="L786" s="603"/>
      <c r="M786" s="603"/>
      <c r="N786" s="603"/>
      <c r="O786" s="603"/>
      <c r="P786" s="603"/>
      <c r="Q786" s="595"/>
      <c r="R786" s="595"/>
      <c r="S786" s="595"/>
      <c r="T786" s="595"/>
      <c r="U786" s="595"/>
      <c r="V786" s="595"/>
      <c r="W786" s="594"/>
      <c r="X786" s="594"/>
      <c r="Y786" s="595"/>
      <c r="Z786" s="595"/>
      <c r="AA786" s="595"/>
      <c r="AB786" s="595"/>
      <c r="AC786" s="595"/>
    </row>
    <row r="787" spans="1:29" ht="12.75" customHeight="1">
      <c r="A787" s="601"/>
      <c r="B787" s="602"/>
      <c r="C787" s="602"/>
      <c r="D787" s="602"/>
      <c r="E787" s="602"/>
      <c r="F787" s="602"/>
      <c r="G787" s="602"/>
      <c r="H787" s="602"/>
      <c r="I787" s="602"/>
      <c r="J787" s="602"/>
      <c r="K787" s="602"/>
      <c r="L787" s="603"/>
      <c r="M787" s="603"/>
      <c r="N787" s="603"/>
      <c r="O787" s="603"/>
      <c r="P787" s="603"/>
      <c r="Q787" s="595"/>
      <c r="R787" s="595"/>
      <c r="S787" s="595"/>
      <c r="T787" s="595"/>
      <c r="U787" s="595"/>
      <c r="V787" s="595"/>
      <c r="W787" s="594"/>
      <c r="X787" s="594"/>
      <c r="Y787" s="595"/>
      <c r="Z787" s="595"/>
      <c r="AA787" s="595"/>
      <c r="AB787" s="595"/>
      <c r="AC787" s="595"/>
    </row>
    <row r="788" spans="1:29" ht="12.75" customHeight="1">
      <c r="A788" s="601"/>
      <c r="B788" s="602"/>
      <c r="C788" s="602"/>
      <c r="D788" s="602"/>
      <c r="E788" s="602"/>
      <c r="F788" s="602"/>
      <c r="G788" s="602"/>
      <c r="H788" s="602"/>
      <c r="I788" s="602"/>
      <c r="J788" s="602"/>
      <c r="K788" s="602"/>
      <c r="L788" s="603"/>
      <c r="M788" s="603"/>
      <c r="N788" s="603"/>
      <c r="O788" s="603"/>
      <c r="P788" s="603"/>
      <c r="Q788" s="595"/>
      <c r="R788" s="595"/>
      <c r="S788" s="595"/>
      <c r="T788" s="595"/>
      <c r="U788" s="595"/>
      <c r="V788" s="595"/>
      <c r="W788" s="594"/>
      <c r="X788" s="594"/>
      <c r="Y788" s="595"/>
      <c r="Z788" s="595"/>
      <c r="AA788" s="595"/>
      <c r="AB788" s="595"/>
      <c r="AC788" s="595"/>
    </row>
    <row r="789" spans="1:29" ht="12.75" customHeight="1">
      <c r="A789" s="601"/>
      <c r="B789" s="602"/>
      <c r="C789" s="602"/>
      <c r="D789" s="602"/>
      <c r="E789" s="602"/>
      <c r="F789" s="602"/>
      <c r="G789" s="602"/>
      <c r="H789" s="602"/>
      <c r="I789" s="602"/>
      <c r="J789" s="602"/>
      <c r="K789" s="602"/>
      <c r="L789" s="603"/>
      <c r="M789" s="603"/>
      <c r="N789" s="603"/>
      <c r="O789" s="603"/>
      <c r="P789" s="603"/>
      <c r="Q789" s="595"/>
      <c r="R789" s="595"/>
      <c r="S789" s="595"/>
      <c r="T789" s="595"/>
      <c r="U789" s="595"/>
      <c r="V789" s="595"/>
      <c r="W789" s="594"/>
      <c r="X789" s="594"/>
      <c r="Y789" s="595"/>
      <c r="Z789" s="595"/>
      <c r="AA789" s="595"/>
      <c r="AB789" s="595"/>
      <c r="AC789" s="595"/>
    </row>
    <row r="790" spans="1:29" ht="12.75" customHeight="1">
      <c r="A790" s="601"/>
      <c r="B790" s="602"/>
      <c r="C790" s="602"/>
      <c r="D790" s="602"/>
      <c r="E790" s="602"/>
      <c r="F790" s="602"/>
      <c r="G790" s="602"/>
      <c r="H790" s="602"/>
      <c r="I790" s="602"/>
      <c r="J790" s="602"/>
      <c r="K790" s="602"/>
      <c r="L790" s="603"/>
      <c r="M790" s="603"/>
      <c r="N790" s="603"/>
      <c r="O790" s="603"/>
      <c r="P790" s="603"/>
      <c r="Q790" s="595"/>
      <c r="R790" s="595"/>
      <c r="S790" s="595"/>
      <c r="T790" s="595"/>
      <c r="U790" s="595"/>
      <c r="V790" s="595"/>
      <c r="W790" s="594"/>
      <c r="X790" s="594"/>
      <c r="Y790" s="595"/>
      <c r="Z790" s="595"/>
      <c r="AA790" s="595"/>
      <c r="AB790" s="595"/>
      <c r="AC790" s="595"/>
    </row>
    <row r="791" spans="1:29" ht="12.75" customHeight="1">
      <c r="A791" s="601"/>
      <c r="B791" s="602"/>
      <c r="C791" s="602"/>
      <c r="D791" s="602"/>
      <c r="E791" s="602"/>
      <c r="F791" s="602"/>
      <c r="G791" s="602"/>
      <c r="H791" s="602"/>
      <c r="I791" s="602"/>
      <c r="J791" s="602"/>
      <c r="K791" s="602"/>
      <c r="L791" s="603"/>
      <c r="M791" s="603"/>
      <c r="N791" s="603"/>
      <c r="O791" s="603"/>
      <c r="P791" s="603"/>
      <c r="Q791" s="595"/>
      <c r="R791" s="595"/>
      <c r="S791" s="595"/>
      <c r="T791" s="595"/>
      <c r="U791" s="595"/>
      <c r="V791" s="595"/>
      <c r="W791" s="594"/>
      <c r="X791" s="594"/>
      <c r="Y791" s="595"/>
      <c r="Z791" s="595"/>
      <c r="AA791" s="595"/>
      <c r="AB791" s="595"/>
      <c r="AC791" s="595"/>
    </row>
    <row r="792" spans="1:29" ht="12.75" customHeight="1">
      <c r="A792" s="601"/>
      <c r="B792" s="602"/>
      <c r="C792" s="602"/>
      <c r="D792" s="602"/>
      <c r="E792" s="602"/>
      <c r="F792" s="602"/>
      <c r="G792" s="602"/>
      <c r="H792" s="602"/>
      <c r="I792" s="602"/>
      <c r="J792" s="602"/>
      <c r="K792" s="602"/>
      <c r="L792" s="603"/>
      <c r="M792" s="603"/>
      <c r="N792" s="603"/>
      <c r="O792" s="603"/>
      <c r="P792" s="603"/>
      <c r="Q792" s="595"/>
      <c r="R792" s="595"/>
      <c r="S792" s="595"/>
      <c r="T792" s="595"/>
      <c r="U792" s="595"/>
      <c r="V792" s="595"/>
      <c r="W792" s="594"/>
      <c r="X792" s="594"/>
      <c r="Y792" s="595"/>
      <c r="Z792" s="595"/>
      <c r="AA792" s="595"/>
      <c r="AB792" s="595"/>
      <c r="AC792" s="595"/>
    </row>
    <row r="793" spans="1:29" ht="12.75" customHeight="1">
      <c r="A793" s="601"/>
      <c r="B793" s="602"/>
      <c r="C793" s="602"/>
      <c r="D793" s="602"/>
      <c r="E793" s="602"/>
      <c r="F793" s="602"/>
      <c r="G793" s="602"/>
      <c r="H793" s="602"/>
      <c r="I793" s="602"/>
      <c r="J793" s="602"/>
      <c r="K793" s="602"/>
      <c r="L793" s="603"/>
      <c r="M793" s="603"/>
      <c r="N793" s="603"/>
      <c r="O793" s="603"/>
      <c r="P793" s="603"/>
      <c r="Q793" s="595"/>
      <c r="R793" s="595"/>
      <c r="S793" s="595"/>
      <c r="T793" s="595"/>
      <c r="U793" s="595"/>
      <c r="V793" s="595"/>
      <c r="W793" s="594"/>
      <c r="X793" s="594"/>
      <c r="Y793" s="595"/>
      <c r="Z793" s="595"/>
      <c r="AA793" s="595"/>
      <c r="AB793" s="595"/>
      <c r="AC793" s="595"/>
    </row>
    <row r="794" spans="1:29" ht="12.75" customHeight="1">
      <c r="A794" s="601"/>
      <c r="B794" s="602"/>
      <c r="C794" s="602"/>
      <c r="D794" s="602"/>
      <c r="E794" s="602"/>
      <c r="F794" s="602"/>
      <c r="G794" s="602"/>
      <c r="H794" s="602"/>
      <c r="I794" s="602"/>
      <c r="J794" s="602"/>
      <c r="K794" s="602"/>
      <c r="L794" s="603"/>
      <c r="M794" s="603"/>
      <c r="N794" s="603"/>
      <c r="O794" s="603"/>
      <c r="P794" s="603"/>
      <c r="Q794" s="595"/>
      <c r="R794" s="595"/>
      <c r="S794" s="595"/>
      <c r="T794" s="595"/>
      <c r="U794" s="595"/>
      <c r="V794" s="595"/>
      <c r="W794" s="594"/>
      <c r="X794" s="594"/>
      <c r="Y794" s="595"/>
      <c r="Z794" s="595"/>
      <c r="AA794" s="595"/>
      <c r="AB794" s="595"/>
      <c r="AC794" s="595"/>
    </row>
    <row r="795" spans="1:29" ht="12.75" customHeight="1">
      <c r="A795" s="601"/>
      <c r="B795" s="602"/>
      <c r="C795" s="602"/>
      <c r="D795" s="602"/>
      <c r="E795" s="602"/>
      <c r="F795" s="602"/>
      <c r="G795" s="602"/>
      <c r="H795" s="602"/>
      <c r="I795" s="602"/>
      <c r="J795" s="602"/>
      <c r="K795" s="602"/>
      <c r="L795" s="603"/>
      <c r="M795" s="603"/>
      <c r="N795" s="603"/>
      <c r="O795" s="603"/>
      <c r="P795" s="603"/>
      <c r="Q795" s="595"/>
      <c r="R795" s="595"/>
      <c r="S795" s="595"/>
      <c r="T795" s="595"/>
      <c r="U795" s="595"/>
      <c r="V795" s="595"/>
      <c r="W795" s="594"/>
      <c r="X795" s="594"/>
      <c r="Y795" s="595"/>
      <c r="Z795" s="595"/>
      <c r="AA795" s="595"/>
      <c r="AB795" s="595"/>
      <c r="AC795" s="595"/>
    </row>
    <row r="796" spans="1:29" ht="12.75" customHeight="1">
      <c r="A796" s="601"/>
      <c r="B796" s="602"/>
      <c r="C796" s="602"/>
      <c r="D796" s="602"/>
      <c r="E796" s="602"/>
      <c r="F796" s="602"/>
      <c r="G796" s="602"/>
      <c r="H796" s="602"/>
      <c r="I796" s="602"/>
      <c r="J796" s="602"/>
      <c r="K796" s="602"/>
      <c r="L796" s="603"/>
      <c r="M796" s="603"/>
      <c r="N796" s="603"/>
      <c r="O796" s="603"/>
      <c r="P796" s="603"/>
      <c r="Q796" s="595"/>
      <c r="R796" s="595"/>
      <c r="S796" s="595"/>
      <c r="T796" s="595"/>
      <c r="U796" s="595"/>
      <c r="V796" s="595"/>
      <c r="W796" s="594"/>
      <c r="X796" s="594"/>
      <c r="Y796" s="595"/>
      <c r="Z796" s="595"/>
      <c r="AA796" s="595"/>
      <c r="AB796" s="595"/>
      <c r="AC796" s="595"/>
    </row>
    <row r="797" spans="1:29" ht="12.75" customHeight="1">
      <c r="A797" s="601"/>
      <c r="B797" s="602"/>
      <c r="C797" s="602"/>
      <c r="D797" s="602"/>
      <c r="E797" s="602"/>
      <c r="F797" s="602"/>
      <c r="G797" s="602"/>
      <c r="H797" s="602"/>
      <c r="I797" s="602"/>
      <c r="J797" s="602"/>
      <c r="K797" s="602"/>
      <c r="L797" s="603"/>
      <c r="M797" s="603"/>
      <c r="N797" s="603"/>
      <c r="O797" s="603"/>
      <c r="P797" s="603"/>
      <c r="Q797" s="595"/>
      <c r="R797" s="595"/>
      <c r="S797" s="595"/>
      <c r="T797" s="595"/>
      <c r="U797" s="595"/>
      <c r="V797" s="595"/>
      <c r="W797" s="594"/>
      <c r="X797" s="594"/>
      <c r="Y797" s="595"/>
      <c r="Z797" s="595"/>
      <c r="AA797" s="595"/>
      <c r="AB797" s="595"/>
      <c r="AC797" s="595"/>
    </row>
    <row r="798" spans="1:29" ht="12.75" customHeight="1">
      <c r="A798" s="601"/>
      <c r="B798" s="602"/>
      <c r="C798" s="602"/>
      <c r="D798" s="602"/>
      <c r="E798" s="602"/>
      <c r="F798" s="602"/>
      <c r="G798" s="602"/>
      <c r="H798" s="602"/>
      <c r="I798" s="602"/>
      <c r="J798" s="602"/>
      <c r="K798" s="602"/>
      <c r="L798" s="603"/>
      <c r="M798" s="603"/>
      <c r="N798" s="603"/>
      <c r="O798" s="603"/>
      <c r="P798" s="603"/>
      <c r="Q798" s="595"/>
      <c r="R798" s="595"/>
      <c r="S798" s="595"/>
      <c r="T798" s="595"/>
      <c r="U798" s="595"/>
      <c r="V798" s="595"/>
      <c r="W798" s="594"/>
      <c r="X798" s="594"/>
      <c r="Y798" s="595"/>
      <c r="Z798" s="595"/>
      <c r="AA798" s="595"/>
      <c r="AB798" s="595"/>
      <c r="AC798" s="595"/>
    </row>
    <row r="799" spans="1:29" ht="12.75" customHeight="1">
      <c r="A799" s="601"/>
      <c r="B799" s="602"/>
      <c r="C799" s="602"/>
      <c r="D799" s="602"/>
      <c r="E799" s="602"/>
      <c r="F799" s="602"/>
      <c r="G799" s="602"/>
      <c r="H799" s="602"/>
      <c r="I799" s="602"/>
      <c r="J799" s="602"/>
      <c r="K799" s="602"/>
      <c r="L799" s="603"/>
      <c r="M799" s="603"/>
      <c r="N799" s="603"/>
      <c r="O799" s="603"/>
      <c r="P799" s="603"/>
      <c r="Q799" s="595"/>
      <c r="R799" s="595"/>
      <c r="S799" s="595"/>
      <c r="T799" s="595"/>
      <c r="U799" s="595"/>
      <c r="V799" s="595"/>
      <c r="W799" s="594"/>
      <c r="X799" s="594"/>
      <c r="Y799" s="595"/>
      <c r="Z799" s="595"/>
      <c r="AA799" s="595"/>
      <c r="AB799" s="595"/>
      <c r="AC799" s="595"/>
    </row>
    <row r="800" spans="1:29" ht="12.75" customHeight="1">
      <c r="A800" s="601"/>
      <c r="B800" s="602"/>
      <c r="C800" s="602"/>
      <c r="D800" s="602"/>
      <c r="E800" s="602"/>
      <c r="F800" s="602"/>
      <c r="G800" s="602"/>
      <c r="H800" s="602"/>
      <c r="I800" s="602"/>
      <c r="J800" s="602"/>
      <c r="K800" s="602"/>
      <c r="L800" s="603"/>
      <c r="M800" s="603"/>
      <c r="N800" s="603"/>
      <c r="O800" s="603"/>
      <c r="P800" s="603"/>
      <c r="Q800" s="595"/>
      <c r="R800" s="595"/>
      <c r="S800" s="595"/>
      <c r="T800" s="595"/>
      <c r="U800" s="595"/>
      <c r="V800" s="595"/>
      <c r="W800" s="594"/>
      <c r="X800" s="594"/>
      <c r="Y800" s="595"/>
      <c r="Z800" s="595"/>
      <c r="AA800" s="595"/>
      <c r="AB800" s="595"/>
      <c r="AC800" s="595"/>
    </row>
    <row r="801" spans="1:29" ht="12.75" customHeight="1">
      <c r="A801" s="601"/>
      <c r="B801" s="602"/>
      <c r="C801" s="602"/>
      <c r="D801" s="602"/>
      <c r="E801" s="602"/>
      <c r="F801" s="602"/>
      <c r="G801" s="602"/>
      <c r="H801" s="602"/>
      <c r="I801" s="602"/>
      <c r="J801" s="602"/>
      <c r="K801" s="602"/>
      <c r="L801" s="603"/>
      <c r="M801" s="603"/>
      <c r="N801" s="603"/>
      <c r="O801" s="603"/>
      <c r="P801" s="603"/>
      <c r="Q801" s="595"/>
      <c r="R801" s="595"/>
      <c r="S801" s="595"/>
      <c r="T801" s="595"/>
      <c r="U801" s="595"/>
      <c r="V801" s="595"/>
      <c r="W801" s="594"/>
      <c r="X801" s="594"/>
      <c r="Y801" s="595"/>
      <c r="Z801" s="595"/>
      <c r="AA801" s="595"/>
      <c r="AB801" s="595"/>
      <c r="AC801" s="595"/>
    </row>
    <row r="802" spans="1:29" ht="12.75" customHeight="1">
      <c r="A802" s="601"/>
      <c r="B802" s="602"/>
      <c r="C802" s="602"/>
      <c r="D802" s="602"/>
      <c r="E802" s="602"/>
      <c r="F802" s="602"/>
      <c r="G802" s="602"/>
      <c r="H802" s="602"/>
      <c r="I802" s="602"/>
      <c r="J802" s="602"/>
      <c r="K802" s="602"/>
      <c r="L802" s="603"/>
      <c r="M802" s="603"/>
      <c r="N802" s="603"/>
      <c r="O802" s="603"/>
      <c r="P802" s="603"/>
      <c r="Q802" s="595"/>
      <c r="R802" s="595"/>
      <c r="S802" s="595"/>
      <c r="T802" s="595"/>
      <c r="U802" s="595"/>
      <c r="V802" s="595"/>
      <c r="W802" s="594"/>
      <c r="X802" s="594"/>
      <c r="Y802" s="595"/>
      <c r="Z802" s="595"/>
      <c r="AA802" s="595"/>
      <c r="AB802" s="595"/>
      <c r="AC802" s="595"/>
    </row>
    <row r="803" spans="1:29" ht="12.75" customHeight="1">
      <c r="A803" s="601"/>
      <c r="B803" s="602"/>
      <c r="C803" s="602"/>
      <c r="D803" s="602"/>
      <c r="E803" s="602"/>
      <c r="F803" s="602"/>
      <c r="G803" s="602"/>
      <c r="H803" s="602"/>
      <c r="I803" s="602"/>
      <c r="J803" s="602"/>
      <c r="K803" s="602"/>
      <c r="L803" s="603"/>
      <c r="M803" s="603"/>
      <c r="N803" s="603"/>
      <c r="O803" s="603"/>
      <c r="P803" s="603"/>
      <c r="Q803" s="595"/>
      <c r="R803" s="595"/>
      <c r="S803" s="595"/>
      <c r="T803" s="595"/>
      <c r="U803" s="595"/>
      <c r="V803" s="595"/>
      <c r="W803" s="594"/>
      <c r="X803" s="594"/>
      <c r="Y803" s="595"/>
      <c r="Z803" s="595"/>
      <c r="AA803" s="595"/>
      <c r="AB803" s="595"/>
      <c r="AC803" s="595"/>
    </row>
    <row r="804" spans="1:29" ht="12.75" customHeight="1">
      <c r="A804" s="601"/>
      <c r="B804" s="602"/>
      <c r="C804" s="602"/>
      <c r="D804" s="602"/>
      <c r="E804" s="602"/>
      <c r="F804" s="602"/>
      <c r="G804" s="602"/>
      <c r="H804" s="602"/>
      <c r="I804" s="602"/>
      <c r="J804" s="602"/>
      <c r="K804" s="602"/>
      <c r="L804" s="603"/>
      <c r="M804" s="603"/>
      <c r="N804" s="603"/>
      <c r="O804" s="603"/>
      <c r="P804" s="603"/>
      <c r="Q804" s="595"/>
      <c r="R804" s="595"/>
      <c r="S804" s="595"/>
      <c r="T804" s="595"/>
      <c r="U804" s="595"/>
      <c r="V804" s="595"/>
      <c r="W804" s="594"/>
      <c r="X804" s="594"/>
      <c r="Y804" s="595"/>
      <c r="Z804" s="595"/>
      <c r="AA804" s="595"/>
      <c r="AB804" s="595"/>
      <c r="AC804" s="595"/>
    </row>
    <row r="805" spans="1:29" ht="12.75" customHeight="1">
      <c r="A805" s="601"/>
      <c r="B805" s="602"/>
      <c r="C805" s="602"/>
      <c r="D805" s="602"/>
      <c r="E805" s="602"/>
      <c r="F805" s="602"/>
      <c r="G805" s="602"/>
      <c r="H805" s="602"/>
      <c r="I805" s="602"/>
      <c r="J805" s="602"/>
      <c r="K805" s="602"/>
      <c r="L805" s="603"/>
      <c r="M805" s="603"/>
      <c r="N805" s="603"/>
      <c r="O805" s="603"/>
      <c r="P805" s="603"/>
      <c r="Q805" s="595"/>
      <c r="R805" s="595"/>
      <c r="S805" s="595"/>
      <c r="T805" s="595"/>
      <c r="U805" s="595"/>
      <c r="V805" s="595"/>
      <c r="W805" s="594"/>
      <c r="X805" s="594"/>
      <c r="Y805" s="595"/>
      <c r="Z805" s="595"/>
      <c r="AA805" s="595"/>
      <c r="AB805" s="595"/>
      <c r="AC805" s="595"/>
    </row>
    <row r="806" spans="1:29" ht="12.75" customHeight="1">
      <c r="A806" s="601"/>
      <c r="B806" s="602"/>
      <c r="C806" s="602"/>
      <c r="D806" s="602"/>
      <c r="E806" s="602"/>
      <c r="F806" s="602"/>
      <c r="G806" s="602"/>
      <c r="H806" s="602"/>
      <c r="I806" s="602"/>
      <c r="J806" s="602"/>
      <c r="K806" s="602"/>
      <c r="L806" s="603"/>
      <c r="M806" s="603"/>
      <c r="N806" s="603"/>
      <c r="O806" s="603"/>
      <c r="P806" s="603"/>
      <c r="Q806" s="595"/>
      <c r="R806" s="595"/>
      <c r="S806" s="595"/>
      <c r="T806" s="595"/>
      <c r="U806" s="595"/>
      <c r="V806" s="595"/>
      <c r="W806" s="594"/>
      <c r="X806" s="594"/>
      <c r="Y806" s="595"/>
      <c r="Z806" s="595"/>
      <c r="AA806" s="595"/>
      <c r="AB806" s="595"/>
      <c r="AC806" s="595"/>
    </row>
    <row r="807" spans="1:29" ht="12.75" customHeight="1">
      <c r="A807" s="601"/>
      <c r="B807" s="602"/>
      <c r="C807" s="602"/>
      <c r="D807" s="602"/>
      <c r="E807" s="602"/>
      <c r="F807" s="602"/>
      <c r="G807" s="602"/>
      <c r="H807" s="602"/>
      <c r="I807" s="602"/>
      <c r="J807" s="602"/>
      <c r="K807" s="602"/>
      <c r="L807" s="603"/>
      <c r="M807" s="603"/>
      <c r="N807" s="603"/>
      <c r="O807" s="603"/>
      <c r="P807" s="603"/>
      <c r="Q807" s="595"/>
      <c r="R807" s="595"/>
      <c r="S807" s="595"/>
      <c r="T807" s="595"/>
      <c r="U807" s="595"/>
      <c r="V807" s="595"/>
      <c r="W807" s="594"/>
      <c r="X807" s="594"/>
      <c r="Y807" s="595"/>
      <c r="Z807" s="595"/>
      <c r="AA807" s="595"/>
      <c r="AB807" s="595"/>
      <c r="AC807" s="595"/>
    </row>
    <row r="808" spans="1:29" ht="12.75" customHeight="1">
      <c r="A808" s="601"/>
      <c r="B808" s="602"/>
      <c r="C808" s="602"/>
      <c r="D808" s="602"/>
      <c r="E808" s="602"/>
      <c r="F808" s="602"/>
      <c r="G808" s="602"/>
      <c r="H808" s="602"/>
      <c r="I808" s="602"/>
      <c r="J808" s="602"/>
      <c r="K808" s="602"/>
      <c r="L808" s="603"/>
      <c r="M808" s="603"/>
      <c r="N808" s="603"/>
      <c r="O808" s="603"/>
      <c r="P808" s="603"/>
      <c r="Q808" s="595"/>
      <c r="R808" s="595"/>
      <c r="S808" s="595"/>
      <c r="T808" s="595"/>
      <c r="U808" s="595"/>
      <c r="V808" s="595"/>
      <c r="W808" s="594"/>
      <c r="X808" s="594"/>
      <c r="Y808" s="595"/>
      <c r="Z808" s="595"/>
      <c r="AA808" s="595"/>
      <c r="AB808" s="595"/>
      <c r="AC808" s="595"/>
    </row>
    <row r="809" spans="1:29" ht="12.75" customHeight="1">
      <c r="A809" s="601"/>
      <c r="B809" s="602"/>
      <c r="C809" s="602"/>
      <c r="D809" s="602"/>
      <c r="E809" s="602"/>
      <c r="F809" s="602"/>
      <c r="G809" s="602"/>
      <c r="H809" s="602"/>
      <c r="I809" s="602"/>
      <c r="J809" s="602"/>
      <c r="K809" s="602"/>
      <c r="L809" s="603"/>
      <c r="M809" s="603"/>
      <c r="N809" s="603"/>
      <c r="O809" s="603"/>
      <c r="P809" s="603"/>
      <c r="Q809" s="595"/>
      <c r="R809" s="595"/>
      <c r="S809" s="595"/>
      <c r="T809" s="595"/>
      <c r="U809" s="595"/>
      <c r="V809" s="595"/>
      <c r="W809" s="594"/>
      <c r="X809" s="594"/>
      <c r="Y809" s="595"/>
      <c r="Z809" s="595"/>
      <c r="AA809" s="595"/>
      <c r="AB809" s="595"/>
      <c r="AC809" s="595"/>
    </row>
    <row r="810" spans="1:29" ht="12.75" customHeight="1">
      <c r="A810" s="601"/>
      <c r="B810" s="602"/>
      <c r="C810" s="602"/>
      <c r="D810" s="602"/>
      <c r="E810" s="602"/>
      <c r="F810" s="602"/>
      <c r="G810" s="602"/>
      <c r="H810" s="602"/>
      <c r="I810" s="602"/>
      <c r="J810" s="602"/>
      <c r="K810" s="602"/>
      <c r="L810" s="603"/>
      <c r="M810" s="603"/>
      <c r="N810" s="603"/>
      <c r="O810" s="603"/>
      <c r="P810" s="603"/>
      <c r="Q810" s="595"/>
      <c r="R810" s="595"/>
      <c r="S810" s="595"/>
      <c r="T810" s="595"/>
      <c r="U810" s="595"/>
      <c r="V810" s="595"/>
      <c r="W810" s="594"/>
      <c r="X810" s="594"/>
      <c r="Y810" s="595"/>
      <c r="Z810" s="595"/>
      <c r="AA810" s="595"/>
      <c r="AB810" s="595"/>
      <c r="AC810" s="595"/>
    </row>
    <row r="811" spans="1:29" ht="12.75" customHeight="1">
      <c r="A811" s="601"/>
      <c r="B811" s="602"/>
      <c r="C811" s="602"/>
      <c r="D811" s="602"/>
      <c r="E811" s="602"/>
      <c r="F811" s="602"/>
      <c r="G811" s="602"/>
      <c r="H811" s="602"/>
      <c r="I811" s="602"/>
      <c r="J811" s="602"/>
      <c r="K811" s="602"/>
      <c r="L811" s="603"/>
      <c r="M811" s="603"/>
      <c r="N811" s="603"/>
      <c r="O811" s="603"/>
      <c r="P811" s="603"/>
      <c r="Q811" s="595"/>
      <c r="R811" s="595"/>
      <c r="S811" s="595"/>
      <c r="T811" s="595"/>
      <c r="U811" s="595"/>
      <c r="V811" s="595"/>
      <c r="W811" s="594"/>
      <c r="X811" s="594"/>
      <c r="Y811" s="595"/>
      <c r="Z811" s="595"/>
      <c r="AA811" s="595"/>
      <c r="AB811" s="595"/>
      <c r="AC811" s="595"/>
    </row>
    <row r="812" spans="1:29" ht="12.75" customHeight="1">
      <c r="A812" s="601"/>
      <c r="B812" s="602"/>
      <c r="C812" s="602"/>
      <c r="D812" s="602"/>
      <c r="E812" s="602"/>
      <c r="F812" s="602"/>
      <c r="G812" s="602"/>
      <c r="H812" s="602"/>
      <c r="I812" s="602"/>
      <c r="J812" s="602"/>
      <c r="K812" s="602"/>
      <c r="L812" s="603"/>
      <c r="M812" s="603"/>
      <c r="N812" s="603"/>
      <c r="O812" s="603"/>
      <c r="P812" s="603"/>
      <c r="Q812" s="595"/>
      <c r="R812" s="595"/>
      <c r="S812" s="595"/>
      <c r="T812" s="595"/>
      <c r="U812" s="595"/>
      <c r="V812" s="595"/>
      <c r="W812" s="594"/>
      <c r="X812" s="594"/>
      <c r="Y812" s="595"/>
      <c r="Z812" s="595"/>
      <c r="AA812" s="595"/>
      <c r="AB812" s="595"/>
      <c r="AC812" s="595"/>
    </row>
    <row r="813" spans="1:29" ht="12.75" customHeight="1">
      <c r="A813" s="601"/>
      <c r="B813" s="602"/>
      <c r="C813" s="602"/>
      <c r="D813" s="602"/>
      <c r="E813" s="602"/>
      <c r="F813" s="602"/>
      <c r="G813" s="602"/>
      <c r="H813" s="602"/>
      <c r="I813" s="602"/>
      <c r="J813" s="602"/>
      <c r="K813" s="602"/>
      <c r="L813" s="603"/>
      <c r="M813" s="603"/>
      <c r="N813" s="603"/>
      <c r="O813" s="603"/>
      <c r="P813" s="603"/>
      <c r="Q813" s="595"/>
      <c r="R813" s="595"/>
      <c r="S813" s="595"/>
      <c r="T813" s="595"/>
      <c r="U813" s="595"/>
      <c r="V813" s="595"/>
      <c r="W813" s="594"/>
      <c r="X813" s="594"/>
      <c r="Y813" s="595"/>
      <c r="Z813" s="595"/>
      <c r="AA813" s="595"/>
      <c r="AB813" s="595"/>
      <c r="AC813" s="595"/>
    </row>
    <row r="814" spans="1:29" ht="12.75" customHeight="1">
      <c r="A814" s="601"/>
      <c r="B814" s="602"/>
      <c r="C814" s="602"/>
      <c r="D814" s="602"/>
      <c r="E814" s="602"/>
      <c r="F814" s="602"/>
      <c r="G814" s="602"/>
      <c r="H814" s="602"/>
      <c r="I814" s="602"/>
      <c r="J814" s="602"/>
      <c r="K814" s="602"/>
      <c r="L814" s="603"/>
      <c r="M814" s="603"/>
      <c r="N814" s="603"/>
      <c r="O814" s="603"/>
      <c r="P814" s="603"/>
      <c r="Q814" s="595"/>
      <c r="R814" s="595"/>
      <c r="S814" s="595"/>
      <c r="T814" s="595"/>
      <c r="U814" s="595"/>
      <c r="V814" s="595"/>
      <c r="W814" s="594"/>
      <c r="X814" s="594"/>
      <c r="Y814" s="595"/>
      <c r="Z814" s="595"/>
      <c r="AA814" s="595"/>
      <c r="AB814" s="595"/>
      <c r="AC814" s="595"/>
    </row>
    <row r="815" spans="1:29" ht="12.75" customHeight="1">
      <c r="A815" s="601"/>
      <c r="B815" s="602"/>
      <c r="C815" s="602"/>
      <c r="D815" s="602"/>
      <c r="E815" s="602"/>
      <c r="F815" s="602"/>
      <c r="G815" s="602"/>
      <c r="H815" s="602"/>
      <c r="I815" s="602"/>
      <c r="J815" s="602"/>
      <c r="K815" s="602"/>
      <c r="L815" s="603"/>
      <c r="M815" s="603"/>
      <c r="N815" s="603"/>
      <c r="O815" s="603"/>
      <c r="P815" s="603"/>
      <c r="Q815" s="595"/>
      <c r="R815" s="595"/>
      <c r="S815" s="595"/>
      <c r="T815" s="595"/>
      <c r="U815" s="595"/>
      <c r="V815" s="595"/>
      <c r="W815" s="594"/>
      <c r="X815" s="594"/>
      <c r="Y815" s="595"/>
      <c r="Z815" s="595"/>
      <c r="AA815" s="595"/>
      <c r="AB815" s="595"/>
      <c r="AC815" s="595"/>
    </row>
    <row r="816" spans="1:29" ht="12.75" customHeight="1">
      <c r="A816" s="601"/>
      <c r="B816" s="602"/>
      <c r="C816" s="602"/>
      <c r="D816" s="602"/>
      <c r="E816" s="602"/>
      <c r="F816" s="602"/>
      <c r="G816" s="602"/>
      <c r="H816" s="602"/>
      <c r="I816" s="602"/>
      <c r="J816" s="602"/>
      <c r="K816" s="602"/>
      <c r="L816" s="603"/>
      <c r="M816" s="603"/>
      <c r="N816" s="603"/>
      <c r="O816" s="603"/>
      <c r="P816" s="603"/>
      <c r="Q816" s="595"/>
      <c r="R816" s="595"/>
      <c r="S816" s="595"/>
      <c r="T816" s="595"/>
      <c r="U816" s="595"/>
      <c r="V816" s="595"/>
      <c r="W816" s="594"/>
      <c r="X816" s="594"/>
      <c r="Y816" s="595"/>
      <c r="Z816" s="595"/>
      <c r="AA816" s="595"/>
      <c r="AB816" s="595"/>
      <c r="AC816" s="595"/>
    </row>
    <row r="817" spans="1:29" ht="12.75" customHeight="1">
      <c r="A817" s="601"/>
      <c r="B817" s="602"/>
      <c r="C817" s="602"/>
      <c r="D817" s="602"/>
      <c r="E817" s="602"/>
      <c r="F817" s="602"/>
      <c r="G817" s="602"/>
      <c r="H817" s="602"/>
      <c r="I817" s="602"/>
      <c r="J817" s="602"/>
      <c r="K817" s="602"/>
      <c r="L817" s="603"/>
      <c r="M817" s="603"/>
      <c r="N817" s="603"/>
      <c r="O817" s="603"/>
      <c r="P817" s="603"/>
      <c r="Q817" s="595"/>
      <c r="R817" s="595"/>
      <c r="S817" s="595"/>
      <c r="T817" s="595"/>
      <c r="U817" s="595"/>
      <c r="V817" s="595"/>
      <c r="W817" s="594"/>
      <c r="X817" s="594"/>
      <c r="Y817" s="595"/>
      <c r="Z817" s="595"/>
      <c r="AA817" s="595"/>
      <c r="AB817" s="595"/>
      <c r="AC817" s="595"/>
    </row>
    <row r="818" spans="1:29" ht="12.75" customHeight="1">
      <c r="A818" s="601"/>
      <c r="B818" s="602"/>
      <c r="C818" s="602"/>
      <c r="D818" s="602"/>
      <c r="E818" s="602"/>
      <c r="F818" s="602"/>
      <c r="G818" s="602"/>
      <c r="H818" s="602"/>
      <c r="I818" s="602"/>
      <c r="J818" s="602"/>
      <c r="K818" s="602"/>
      <c r="L818" s="603"/>
      <c r="M818" s="603"/>
      <c r="N818" s="603"/>
      <c r="O818" s="603"/>
      <c r="P818" s="603"/>
      <c r="Q818" s="595"/>
      <c r="R818" s="595"/>
      <c r="S818" s="595"/>
      <c r="T818" s="595"/>
      <c r="U818" s="595"/>
      <c r="V818" s="595"/>
      <c r="W818" s="594"/>
      <c r="X818" s="594"/>
      <c r="Y818" s="595"/>
      <c r="Z818" s="595"/>
      <c r="AA818" s="595"/>
      <c r="AB818" s="595"/>
      <c r="AC818" s="595"/>
    </row>
    <row r="819" spans="1:29" ht="12.75" customHeight="1">
      <c r="A819" s="601"/>
      <c r="B819" s="602"/>
      <c r="C819" s="602"/>
      <c r="D819" s="602"/>
      <c r="E819" s="602"/>
      <c r="F819" s="602"/>
      <c r="G819" s="602"/>
      <c r="H819" s="602"/>
      <c r="I819" s="602"/>
      <c r="J819" s="602"/>
      <c r="K819" s="602"/>
      <c r="L819" s="603"/>
      <c r="M819" s="603"/>
      <c r="N819" s="603"/>
      <c r="O819" s="603"/>
      <c r="P819" s="603"/>
      <c r="Q819" s="595"/>
      <c r="R819" s="595"/>
      <c r="S819" s="595"/>
      <c r="T819" s="595"/>
      <c r="U819" s="595"/>
      <c r="V819" s="595"/>
      <c r="W819" s="594"/>
      <c r="X819" s="594"/>
      <c r="Y819" s="595"/>
      <c r="Z819" s="595"/>
      <c r="AA819" s="595"/>
      <c r="AB819" s="595"/>
      <c r="AC819" s="595"/>
    </row>
    <row r="820" spans="1:29" ht="12.75" customHeight="1">
      <c r="A820" s="601"/>
      <c r="B820" s="602"/>
      <c r="C820" s="602"/>
      <c r="D820" s="602"/>
      <c r="E820" s="602"/>
      <c r="F820" s="602"/>
      <c r="G820" s="602"/>
      <c r="H820" s="602"/>
      <c r="I820" s="602"/>
      <c r="J820" s="602"/>
      <c r="K820" s="602"/>
      <c r="L820" s="603"/>
      <c r="M820" s="603"/>
      <c r="N820" s="603"/>
      <c r="O820" s="603"/>
      <c r="P820" s="603"/>
      <c r="Q820" s="595"/>
      <c r="R820" s="595"/>
      <c r="S820" s="595"/>
      <c r="T820" s="595"/>
      <c r="U820" s="595"/>
      <c r="V820" s="595"/>
      <c r="W820" s="594"/>
      <c r="X820" s="594"/>
      <c r="Y820" s="595"/>
      <c r="Z820" s="595"/>
      <c r="AA820" s="595"/>
      <c r="AB820" s="595"/>
      <c r="AC820" s="595"/>
    </row>
    <row r="821" spans="1:29" ht="12.75" customHeight="1">
      <c r="A821" s="601"/>
      <c r="B821" s="602"/>
      <c r="C821" s="602"/>
      <c r="D821" s="602"/>
      <c r="E821" s="602"/>
      <c r="F821" s="602"/>
      <c r="G821" s="602"/>
      <c r="H821" s="602"/>
      <c r="I821" s="602"/>
      <c r="J821" s="602"/>
      <c r="K821" s="602"/>
      <c r="L821" s="603"/>
      <c r="M821" s="603"/>
      <c r="N821" s="603"/>
      <c r="O821" s="603"/>
      <c r="P821" s="603"/>
      <c r="Q821" s="595"/>
      <c r="R821" s="595"/>
      <c r="S821" s="595"/>
      <c r="T821" s="595"/>
      <c r="U821" s="595"/>
      <c r="V821" s="595"/>
      <c r="W821" s="594"/>
      <c r="X821" s="594"/>
      <c r="Y821" s="595"/>
      <c r="Z821" s="595"/>
      <c r="AA821" s="595"/>
      <c r="AB821" s="595"/>
      <c r="AC821" s="595"/>
    </row>
    <row r="822" spans="1:29" ht="12.75" customHeight="1">
      <c r="A822" s="601"/>
      <c r="B822" s="602"/>
      <c r="C822" s="602"/>
      <c r="D822" s="602"/>
      <c r="E822" s="602"/>
      <c r="F822" s="602"/>
      <c r="G822" s="602"/>
      <c r="H822" s="602"/>
      <c r="I822" s="602"/>
      <c r="J822" s="602"/>
      <c r="K822" s="602"/>
      <c r="L822" s="603"/>
      <c r="M822" s="603"/>
      <c r="N822" s="603"/>
      <c r="O822" s="603"/>
      <c r="P822" s="603"/>
      <c r="Q822" s="595"/>
      <c r="R822" s="595"/>
      <c r="S822" s="595"/>
      <c r="T822" s="595"/>
      <c r="U822" s="595"/>
      <c r="V822" s="595"/>
      <c r="W822" s="594"/>
      <c r="X822" s="594"/>
      <c r="Y822" s="595"/>
      <c r="Z822" s="595"/>
      <c r="AA822" s="595"/>
      <c r="AB822" s="595"/>
      <c r="AC822" s="595"/>
    </row>
    <row r="823" spans="1:29" ht="12.75" customHeight="1">
      <c r="A823" s="601"/>
      <c r="B823" s="602"/>
      <c r="C823" s="602"/>
      <c r="D823" s="602"/>
      <c r="E823" s="602"/>
      <c r="F823" s="602"/>
      <c r="G823" s="602"/>
      <c r="H823" s="602"/>
      <c r="I823" s="602"/>
      <c r="J823" s="602"/>
      <c r="K823" s="602"/>
      <c r="L823" s="603"/>
      <c r="M823" s="603"/>
      <c r="N823" s="603"/>
      <c r="O823" s="603"/>
      <c r="P823" s="603"/>
      <c r="Q823" s="595"/>
      <c r="R823" s="595"/>
      <c r="S823" s="595"/>
      <c r="T823" s="595"/>
      <c r="U823" s="595"/>
      <c r="V823" s="595"/>
      <c r="W823" s="594"/>
      <c r="X823" s="594"/>
      <c r="Y823" s="595"/>
      <c r="Z823" s="595"/>
      <c r="AA823" s="595"/>
      <c r="AB823" s="595"/>
      <c r="AC823" s="595"/>
    </row>
    <row r="824" spans="1:29" ht="12.75" customHeight="1">
      <c r="A824" s="601"/>
      <c r="B824" s="602"/>
      <c r="C824" s="602"/>
      <c r="D824" s="602"/>
      <c r="E824" s="602"/>
      <c r="F824" s="602"/>
      <c r="G824" s="602"/>
      <c r="H824" s="602"/>
      <c r="I824" s="602"/>
      <c r="J824" s="602"/>
      <c r="K824" s="602"/>
      <c r="L824" s="603"/>
      <c r="M824" s="603"/>
      <c r="N824" s="603"/>
      <c r="O824" s="603"/>
      <c r="P824" s="603"/>
      <c r="Q824" s="595"/>
      <c r="R824" s="595"/>
      <c r="S824" s="595"/>
      <c r="T824" s="595"/>
      <c r="U824" s="595"/>
      <c r="V824" s="595"/>
      <c r="W824" s="594"/>
      <c r="X824" s="594"/>
      <c r="Y824" s="595"/>
      <c r="Z824" s="595"/>
      <c r="AA824" s="595"/>
      <c r="AB824" s="595"/>
      <c r="AC824" s="595"/>
    </row>
    <row r="825" spans="1:29" ht="12.75" customHeight="1">
      <c r="A825" s="601"/>
      <c r="B825" s="602"/>
      <c r="C825" s="602"/>
      <c r="D825" s="602"/>
      <c r="E825" s="602"/>
      <c r="F825" s="602"/>
      <c r="G825" s="602"/>
      <c r="H825" s="602"/>
      <c r="I825" s="602"/>
      <c r="J825" s="602"/>
      <c r="K825" s="602"/>
      <c r="L825" s="603"/>
      <c r="M825" s="603"/>
      <c r="N825" s="603"/>
      <c r="O825" s="603"/>
      <c r="P825" s="603"/>
      <c r="Q825" s="595"/>
      <c r="R825" s="595"/>
      <c r="S825" s="595"/>
      <c r="T825" s="595"/>
      <c r="U825" s="595"/>
      <c r="V825" s="595"/>
      <c r="W825" s="594"/>
      <c r="X825" s="594"/>
      <c r="Y825" s="595"/>
      <c r="Z825" s="595"/>
      <c r="AA825" s="595"/>
      <c r="AB825" s="595"/>
      <c r="AC825" s="595"/>
    </row>
    <row r="826" spans="1:29" ht="12.75" customHeight="1">
      <c r="A826" s="601"/>
      <c r="B826" s="602"/>
      <c r="C826" s="602"/>
      <c r="D826" s="602"/>
      <c r="E826" s="602"/>
      <c r="F826" s="602"/>
      <c r="G826" s="602"/>
      <c r="H826" s="602"/>
      <c r="I826" s="602"/>
      <c r="J826" s="602"/>
      <c r="K826" s="602"/>
      <c r="L826" s="603"/>
      <c r="M826" s="603"/>
      <c r="N826" s="603"/>
      <c r="O826" s="603"/>
      <c r="P826" s="603"/>
      <c r="Q826" s="595"/>
      <c r="R826" s="595"/>
      <c r="S826" s="595"/>
      <c r="T826" s="595"/>
      <c r="U826" s="595"/>
      <c r="V826" s="595"/>
      <c r="W826" s="594"/>
      <c r="X826" s="594"/>
      <c r="Y826" s="595"/>
      <c r="Z826" s="595"/>
      <c r="AA826" s="595"/>
      <c r="AB826" s="595"/>
      <c r="AC826" s="595"/>
    </row>
    <row r="827" spans="1:29" ht="12.75" customHeight="1">
      <c r="A827" s="601"/>
      <c r="B827" s="602"/>
      <c r="C827" s="602"/>
      <c r="D827" s="602"/>
      <c r="E827" s="602"/>
      <c r="F827" s="602"/>
      <c r="G827" s="602"/>
      <c r="H827" s="602"/>
      <c r="I827" s="602"/>
      <c r="J827" s="602"/>
      <c r="K827" s="602"/>
      <c r="L827" s="603"/>
      <c r="M827" s="603"/>
      <c r="N827" s="603"/>
      <c r="O827" s="603"/>
      <c r="P827" s="603"/>
      <c r="Q827" s="595"/>
      <c r="R827" s="595"/>
      <c r="S827" s="595"/>
      <c r="T827" s="595"/>
      <c r="U827" s="595"/>
      <c r="V827" s="595"/>
      <c r="W827" s="594"/>
      <c r="X827" s="594"/>
      <c r="Y827" s="595"/>
      <c r="Z827" s="595"/>
      <c r="AA827" s="595"/>
      <c r="AB827" s="595"/>
      <c r="AC827" s="595"/>
    </row>
    <row r="828" spans="1:29" ht="12.75" customHeight="1">
      <c r="A828" s="601"/>
      <c r="B828" s="602"/>
      <c r="C828" s="602"/>
      <c r="D828" s="602"/>
      <c r="E828" s="602"/>
      <c r="F828" s="602"/>
      <c r="G828" s="602"/>
      <c r="H828" s="602"/>
      <c r="I828" s="602"/>
      <c r="J828" s="602"/>
      <c r="K828" s="602"/>
      <c r="L828" s="603"/>
      <c r="M828" s="603"/>
      <c r="N828" s="603"/>
      <c r="O828" s="603"/>
      <c r="P828" s="603"/>
      <c r="Q828" s="595"/>
      <c r="R828" s="595"/>
      <c r="S828" s="595"/>
      <c r="T828" s="595"/>
      <c r="U828" s="595"/>
      <c r="V828" s="595"/>
      <c r="W828" s="594"/>
      <c r="X828" s="594"/>
      <c r="Y828" s="595"/>
      <c r="Z828" s="595"/>
      <c r="AA828" s="595"/>
      <c r="AB828" s="595"/>
      <c r="AC828" s="595"/>
    </row>
    <row r="829" spans="1:29" ht="12.75" customHeight="1">
      <c r="A829" s="601"/>
      <c r="B829" s="602"/>
      <c r="C829" s="602"/>
      <c r="D829" s="602"/>
      <c r="E829" s="602"/>
      <c r="F829" s="602"/>
      <c r="G829" s="602"/>
      <c r="H829" s="602"/>
      <c r="I829" s="602"/>
      <c r="J829" s="602"/>
      <c r="K829" s="602"/>
      <c r="L829" s="603"/>
      <c r="M829" s="603"/>
      <c r="N829" s="603"/>
      <c r="O829" s="603"/>
      <c r="P829" s="603"/>
      <c r="Q829" s="595"/>
      <c r="R829" s="595"/>
      <c r="S829" s="595"/>
      <c r="T829" s="595"/>
      <c r="U829" s="595"/>
      <c r="V829" s="595"/>
      <c r="W829" s="594"/>
      <c r="X829" s="594"/>
      <c r="Y829" s="595"/>
      <c r="Z829" s="595"/>
      <c r="AA829" s="595"/>
      <c r="AB829" s="595"/>
      <c r="AC829" s="595"/>
    </row>
    <row r="830" spans="1:29" ht="12.75" customHeight="1">
      <c r="A830" s="601"/>
      <c r="B830" s="602"/>
      <c r="C830" s="602"/>
      <c r="D830" s="602"/>
      <c r="E830" s="602"/>
      <c r="F830" s="602"/>
      <c r="G830" s="602"/>
      <c r="H830" s="602"/>
      <c r="I830" s="602"/>
      <c r="J830" s="602"/>
      <c r="K830" s="602"/>
      <c r="L830" s="603"/>
      <c r="M830" s="603"/>
      <c r="N830" s="603"/>
      <c r="O830" s="603"/>
      <c r="P830" s="603"/>
      <c r="Q830" s="595"/>
      <c r="R830" s="595"/>
      <c r="S830" s="595"/>
      <c r="T830" s="595"/>
      <c r="U830" s="595"/>
      <c r="V830" s="595"/>
      <c r="W830" s="594"/>
      <c r="X830" s="594"/>
      <c r="Y830" s="595"/>
      <c r="Z830" s="595"/>
      <c r="AA830" s="595"/>
      <c r="AB830" s="595"/>
      <c r="AC830" s="595"/>
    </row>
    <row r="831" spans="1:29" ht="12.75" customHeight="1">
      <c r="A831" s="601"/>
      <c r="B831" s="602"/>
      <c r="C831" s="602"/>
      <c r="D831" s="602"/>
      <c r="E831" s="602"/>
      <c r="F831" s="602"/>
      <c r="G831" s="602"/>
      <c r="H831" s="602"/>
      <c r="I831" s="602"/>
      <c r="J831" s="602"/>
      <c r="K831" s="602"/>
      <c r="L831" s="603"/>
      <c r="M831" s="603"/>
      <c r="N831" s="603"/>
      <c r="O831" s="603"/>
      <c r="P831" s="603"/>
      <c r="Q831" s="595"/>
      <c r="R831" s="595"/>
      <c r="S831" s="595"/>
      <c r="T831" s="595"/>
      <c r="U831" s="595"/>
      <c r="V831" s="595"/>
      <c r="W831" s="594"/>
      <c r="X831" s="594"/>
      <c r="Y831" s="595"/>
      <c r="Z831" s="595"/>
      <c r="AA831" s="595"/>
      <c r="AB831" s="595"/>
      <c r="AC831" s="595"/>
    </row>
    <row r="832" spans="1:29" ht="12.75" customHeight="1">
      <c r="A832" s="601"/>
      <c r="B832" s="602"/>
      <c r="C832" s="602"/>
      <c r="D832" s="602"/>
      <c r="E832" s="602"/>
      <c r="F832" s="602"/>
      <c r="G832" s="602"/>
      <c r="H832" s="602"/>
      <c r="I832" s="602"/>
      <c r="J832" s="602"/>
      <c r="K832" s="602"/>
      <c r="L832" s="603"/>
      <c r="M832" s="603"/>
      <c r="N832" s="603"/>
      <c r="O832" s="603"/>
      <c r="P832" s="603"/>
      <c r="Q832" s="595"/>
      <c r="R832" s="595"/>
      <c r="S832" s="595"/>
      <c r="T832" s="595"/>
      <c r="U832" s="595"/>
      <c r="V832" s="595"/>
      <c r="W832" s="594"/>
      <c r="X832" s="594"/>
      <c r="Y832" s="595"/>
      <c r="Z832" s="595"/>
      <c r="AA832" s="595"/>
      <c r="AB832" s="595"/>
      <c r="AC832" s="595"/>
    </row>
    <row r="833" spans="1:29" ht="12.75" customHeight="1">
      <c r="A833" s="601"/>
      <c r="B833" s="602"/>
      <c r="C833" s="602"/>
      <c r="D833" s="602"/>
      <c r="E833" s="602"/>
      <c r="F833" s="602"/>
      <c r="G833" s="602"/>
      <c r="H833" s="602"/>
      <c r="I833" s="602"/>
      <c r="J833" s="602"/>
      <c r="K833" s="602"/>
      <c r="L833" s="603"/>
      <c r="M833" s="603"/>
      <c r="N833" s="603"/>
      <c r="O833" s="603"/>
      <c r="P833" s="603"/>
      <c r="Q833" s="595"/>
      <c r="R833" s="595"/>
      <c r="S833" s="595"/>
      <c r="T833" s="595"/>
      <c r="U833" s="595"/>
      <c r="V833" s="595"/>
      <c r="W833" s="594"/>
      <c r="X833" s="594"/>
      <c r="Y833" s="595"/>
      <c r="Z833" s="595"/>
      <c r="AA833" s="595"/>
      <c r="AB833" s="595"/>
      <c r="AC833" s="595"/>
    </row>
    <row r="834" spans="1:29" ht="12.75" customHeight="1">
      <c r="A834" s="601"/>
      <c r="B834" s="602"/>
      <c r="C834" s="602"/>
      <c r="D834" s="602"/>
      <c r="E834" s="602"/>
      <c r="F834" s="602"/>
      <c r="G834" s="602"/>
      <c r="H834" s="602"/>
      <c r="I834" s="602"/>
      <c r="J834" s="602"/>
      <c r="K834" s="602"/>
      <c r="L834" s="603"/>
      <c r="M834" s="603"/>
      <c r="N834" s="603"/>
      <c r="O834" s="603"/>
      <c r="P834" s="603"/>
      <c r="Q834" s="595"/>
      <c r="R834" s="595"/>
      <c r="S834" s="595"/>
      <c r="T834" s="595"/>
      <c r="U834" s="595"/>
      <c r="V834" s="595"/>
      <c r="W834" s="594"/>
      <c r="X834" s="594"/>
      <c r="Y834" s="595"/>
      <c r="Z834" s="595"/>
      <c r="AA834" s="595"/>
      <c r="AB834" s="595"/>
      <c r="AC834" s="595"/>
    </row>
    <row r="835" spans="1:29" ht="12.75" customHeight="1">
      <c r="A835" s="601"/>
      <c r="B835" s="602"/>
      <c r="C835" s="602"/>
      <c r="D835" s="602"/>
      <c r="E835" s="602"/>
      <c r="F835" s="602"/>
      <c r="G835" s="602"/>
      <c r="H835" s="602"/>
      <c r="I835" s="602"/>
      <c r="J835" s="602"/>
      <c r="K835" s="602"/>
      <c r="L835" s="603"/>
      <c r="M835" s="603"/>
      <c r="N835" s="603"/>
      <c r="O835" s="603"/>
      <c r="P835" s="603"/>
      <c r="Q835" s="595"/>
      <c r="R835" s="595"/>
      <c r="S835" s="595"/>
      <c r="T835" s="595"/>
      <c r="U835" s="595"/>
      <c r="V835" s="595"/>
      <c r="W835" s="594"/>
      <c r="X835" s="594"/>
      <c r="Y835" s="595"/>
      <c r="Z835" s="595"/>
      <c r="AA835" s="595"/>
      <c r="AB835" s="595"/>
      <c r="AC835" s="595"/>
    </row>
    <row r="836" spans="1:29" ht="12.75" customHeight="1">
      <c r="A836" s="601"/>
      <c r="B836" s="602"/>
      <c r="C836" s="602"/>
      <c r="D836" s="602"/>
      <c r="E836" s="602"/>
      <c r="F836" s="602"/>
      <c r="G836" s="602"/>
      <c r="H836" s="602"/>
      <c r="I836" s="602"/>
      <c r="J836" s="602"/>
      <c r="K836" s="602"/>
      <c r="L836" s="603"/>
      <c r="M836" s="603"/>
      <c r="N836" s="603"/>
      <c r="O836" s="603"/>
      <c r="P836" s="603"/>
      <c r="Q836" s="595"/>
      <c r="R836" s="595"/>
      <c r="S836" s="595"/>
      <c r="T836" s="595"/>
      <c r="U836" s="595"/>
      <c r="V836" s="595"/>
      <c r="W836" s="594"/>
      <c r="X836" s="594"/>
      <c r="Y836" s="595"/>
      <c r="Z836" s="595"/>
      <c r="AA836" s="595"/>
      <c r="AB836" s="595"/>
      <c r="AC836" s="595"/>
    </row>
    <row r="837" spans="1:29" ht="12.75" customHeight="1">
      <c r="A837" s="601"/>
      <c r="B837" s="602"/>
      <c r="C837" s="602"/>
      <c r="D837" s="602"/>
      <c r="E837" s="602"/>
      <c r="F837" s="602"/>
      <c r="G837" s="602"/>
      <c r="H837" s="602"/>
      <c r="I837" s="602"/>
      <c r="J837" s="602"/>
      <c r="K837" s="602"/>
      <c r="L837" s="603"/>
      <c r="M837" s="603"/>
      <c r="N837" s="603"/>
      <c r="O837" s="603"/>
      <c r="P837" s="603"/>
      <c r="Q837" s="595"/>
      <c r="R837" s="595"/>
      <c r="S837" s="595"/>
      <c r="T837" s="595"/>
      <c r="U837" s="595"/>
      <c r="V837" s="595"/>
      <c r="W837" s="594"/>
      <c r="X837" s="594"/>
      <c r="Y837" s="595"/>
      <c r="Z837" s="595"/>
      <c r="AA837" s="595"/>
      <c r="AB837" s="595"/>
      <c r="AC837" s="595"/>
    </row>
    <row r="838" spans="1:29" ht="12.75" customHeight="1">
      <c r="A838" s="601"/>
      <c r="B838" s="602"/>
      <c r="C838" s="602"/>
      <c r="D838" s="602"/>
      <c r="E838" s="602"/>
      <c r="F838" s="602"/>
      <c r="G838" s="602"/>
      <c r="H838" s="602"/>
      <c r="I838" s="602"/>
      <c r="J838" s="602"/>
      <c r="K838" s="602"/>
      <c r="L838" s="603"/>
      <c r="M838" s="603"/>
      <c r="N838" s="603"/>
      <c r="O838" s="603"/>
      <c r="P838" s="603"/>
      <c r="Q838" s="595"/>
      <c r="R838" s="595"/>
      <c r="S838" s="595"/>
      <c r="T838" s="595"/>
      <c r="U838" s="595"/>
      <c r="V838" s="595"/>
      <c r="W838" s="594"/>
      <c r="X838" s="594"/>
      <c r="Y838" s="595"/>
      <c r="Z838" s="595"/>
      <c r="AA838" s="595"/>
      <c r="AB838" s="595"/>
      <c r="AC838" s="595"/>
    </row>
    <row r="839" spans="1:29" ht="12.75" customHeight="1">
      <c r="A839" s="601"/>
      <c r="B839" s="602"/>
      <c r="C839" s="602"/>
      <c r="D839" s="602"/>
      <c r="E839" s="602"/>
      <c r="F839" s="602"/>
      <c r="G839" s="602"/>
      <c r="H839" s="602"/>
      <c r="I839" s="602"/>
      <c r="J839" s="602"/>
      <c r="K839" s="602"/>
      <c r="L839" s="603"/>
      <c r="M839" s="603"/>
      <c r="N839" s="603"/>
      <c r="O839" s="603"/>
      <c r="P839" s="603"/>
      <c r="Q839" s="595"/>
      <c r="R839" s="595"/>
      <c r="S839" s="595"/>
      <c r="T839" s="595"/>
      <c r="U839" s="595"/>
      <c r="V839" s="595"/>
      <c r="W839" s="594"/>
      <c r="X839" s="594"/>
      <c r="Y839" s="595"/>
      <c r="Z839" s="595"/>
      <c r="AA839" s="595"/>
      <c r="AB839" s="595"/>
      <c r="AC839" s="595"/>
    </row>
    <row r="840" spans="1:29" ht="12.75" customHeight="1">
      <c r="A840" s="601"/>
      <c r="B840" s="602"/>
      <c r="C840" s="602"/>
      <c r="D840" s="602"/>
      <c r="E840" s="602"/>
      <c r="F840" s="602"/>
      <c r="G840" s="602"/>
      <c r="H840" s="602"/>
      <c r="I840" s="602"/>
      <c r="J840" s="602"/>
      <c r="K840" s="602"/>
      <c r="L840" s="603"/>
      <c r="M840" s="603"/>
      <c r="N840" s="603"/>
      <c r="O840" s="603"/>
      <c r="P840" s="603"/>
      <c r="Q840" s="595"/>
      <c r="R840" s="595"/>
      <c r="S840" s="595"/>
      <c r="T840" s="595"/>
      <c r="U840" s="595"/>
      <c r="V840" s="595"/>
      <c r="W840" s="594"/>
      <c r="X840" s="594"/>
      <c r="Y840" s="595"/>
      <c r="Z840" s="595"/>
      <c r="AA840" s="595"/>
      <c r="AB840" s="595"/>
      <c r="AC840" s="595"/>
    </row>
    <row r="841" spans="1:29" ht="12.75" customHeight="1">
      <c r="A841" s="601"/>
      <c r="B841" s="602"/>
      <c r="C841" s="602"/>
      <c r="D841" s="602"/>
      <c r="E841" s="602"/>
      <c r="F841" s="602"/>
      <c r="G841" s="602"/>
      <c r="H841" s="602"/>
      <c r="I841" s="602"/>
      <c r="J841" s="602"/>
      <c r="K841" s="602"/>
      <c r="L841" s="603"/>
      <c r="M841" s="603"/>
      <c r="N841" s="603"/>
      <c r="O841" s="603"/>
      <c r="P841" s="603"/>
      <c r="Q841" s="595"/>
      <c r="R841" s="595"/>
      <c r="S841" s="595"/>
      <c r="T841" s="595"/>
      <c r="U841" s="595"/>
      <c r="V841" s="595"/>
      <c r="W841" s="594"/>
      <c r="X841" s="594"/>
      <c r="Y841" s="595"/>
      <c r="Z841" s="595"/>
      <c r="AA841" s="595"/>
      <c r="AB841" s="595"/>
      <c r="AC841" s="595"/>
    </row>
    <row r="842" spans="1:29" ht="12.75" customHeight="1">
      <c r="A842" s="601"/>
      <c r="B842" s="602"/>
      <c r="C842" s="602"/>
      <c r="D842" s="602"/>
      <c r="E842" s="602"/>
      <c r="F842" s="602"/>
      <c r="G842" s="602"/>
      <c r="H842" s="602"/>
      <c r="I842" s="602"/>
      <c r="J842" s="602"/>
      <c r="K842" s="602"/>
      <c r="L842" s="603"/>
      <c r="M842" s="603"/>
      <c r="N842" s="603"/>
      <c r="O842" s="603"/>
      <c r="P842" s="603"/>
      <c r="Q842" s="595"/>
      <c r="R842" s="595"/>
      <c r="S842" s="595"/>
      <c r="T842" s="595"/>
      <c r="U842" s="595"/>
      <c r="V842" s="595"/>
      <c r="W842" s="594"/>
      <c r="X842" s="594"/>
      <c r="Y842" s="595"/>
      <c r="Z842" s="595"/>
      <c r="AA842" s="595"/>
      <c r="AB842" s="595"/>
      <c r="AC842" s="595"/>
    </row>
    <row r="843" spans="1:29" ht="12.75" customHeight="1">
      <c r="A843" s="601"/>
      <c r="B843" s="602"/>
      <c r="C843" s="602"/>
      <c r="D843" s="602"/>
      <c r="E843" s="602"/>
      <c r="F843" s="602"/>
      <c r="G843" s="602"/>
      <c r="H843" s="602"/>
      <c r="I843" s="602"/>
      <c r="J843" s="602"/>
      <c r="K843" s="602"/>
      <c r="L843" s="603"/>
      <c r="M843" s="603"/>
      <c r="N843" s="603"/>
      <c r="O843" s="603"/>
      <c r="P843" s="603"/>
      <c r="Q843" s="595"/>
      <c r="R843" s="595"/>
      <c r="S843" s="595"/>
      <c r="T843" s="595"/>
      <c r="U843" s="595"/>
      <c r="V843" s="595"/>
      <c r="W843" s="594"/>
      <c r="X843" s="594"/>
      <c r="Y843" s="595"/>
      <c r="Z843" s="595"/>
      <c r="AA843" s="595"/>
      <c r="AB843" s="595"/>
      <c r="AC843" s="595"/>
    </row>
    <row r="844" spans="1:29" ht="12.75" customHeight="1">
      <c r="A844" s="601"/>
      <c r="B844" s="602"/>
      <c r="C844" s="602"/>
      <c r="D844" s="602"/>
      <c r="E844" s="602"/>
      <c r="F844" s="602"/>
      <c r="G844" s="602"/>
      <c r="H844" s="602"/>
      <c r="I844" s="602"/>
      <c r="J844" s="602"/>
      <c r="K844" s="602"/>
      <c r="L844" s="603"/>
      <c r="M844" s="603"/>
      <c r="N844" s="603"/>
      <c r="O844" s="603"/>
      <c r="P844" s="603"/>
      <c r="Q844" s="595"/>
      <c r="R844" s="595"/>
      <c r="S844" s="595"/>
      <c r="T844" s="595"/>
      <c r="U844" s="595"/>
      <c r="V844" s="595"/>
      <c r="W844" s="594"/>
      <c r="X844" s="594"/>
      <c r="Y844" s="595"/>
      <c r="Z844" s="595"/>
      <c r="AA844" s="595"/>
      <c r="AB844" s="595"/>
      <c r="AC844" s="595"/>
    </row>
    <row r="845" spans="1:29" ht="12.75" customHeight="1">
      <c r="A845" s="601"/>
      <c r="B845" s="602"/>
      <c r="C845" s="602"/>
      <c r="D845" s="602"/>
      <c r="E845" s="602"/>
      <c r="F845" s="602"/>
      <c r="G845" s="602"/>
      <c r="H845" s="602"/>
      <c r="I845" s="602"/>
      <c r="J845" s="602"/>
      <c r="K845" s="602"/>
      <c r="L845" s="603"/>
      <c r="M845" s="603"/>
      <c r="N845" s="603"/>
      <c r="O845" s="603"/>
      <c r="P845" s="603"/>
      <c r="Q845" s="595"/>
      <c r="R845" s="595"/>
      <c r="S845" s="595"/>
      <c r="T845" s="595"/>
      <c r="U845" s="595"/>
      <c r="V845" s="595"/>
      <c r="W845" s="594"/>
      <c r="X845" s="594"/>
      <c r="Y845" s="595"/>
      <c r="Z845" s="595"/>
      <c r="AA845" s="595"/>
      <c r="AB845" s="595"/>
      <c r="AC845" s="595"/>
    </row>
    <row r="846" spans="1:29" ht="12.75" customHeight="1">
      <c r="A846" s="601"/>
      <c r="B846" s="602"/>
      <c r="C846" s="602"/>
      <c r="D846" s="602"/>
      <c r="E846" s="602"/>
      <c r="F846" s="602"/>
      <c r="G846" s="602"/>
      <c r="H846" s="602"/>
      <c r="I846" s="602"/>
      <c r="J846" s="602"/>
      <c r="K846" s="602"/>
      <c r="L846" s="603"/>
      <c r="M846" s="603"/>
      <c r="N846" s="603"/>
      <c r="O846" s="603"/>
      <c r="P846" s="603"/>
      <c r="Q846" s="595"/>
      <c r="R846" s="595"/>
      <c r="S846" s="595"/>
      <c r="T846" s="595"/>
      <c r="U846" s="595"/>
      <c r="V846" s="595"/>
      <c r="W846" s="594"/>
      <c r="X846" s="594"/>
      <c r="Y846" s="595"/>
      <c r="Z846" s="595"/>
      <c r="AA846" s="595"/>
      <c r="AB846" s="595"/>
      <c r="AC846" s="595"/>
    </row>
    <row r="847" spans="1:29" ht="12.75" customHeight="1">
      <c r="A847" s="601"/>
      <c r="B847" s="602"/>
      <c r="C847" s="602"/>
      <c r="D847" s="602"/>
      <c r="E847" s="602"/>
      <c r="F847" s="602"/>
      <c r="G847" s="602"/>
      <c r="H847" s="602"/>
      <c r="I847" s="602"/>
      <c r="J847" s="602"/>
      <c r="K847" s="602"/>
      <c r="L847" s="603"/>
      <c r="M847" s="603"/>
      <c r="N847" s="603"/>
      <c r="O847" s="603"/>
      <c r="P847" s="603"/>
      <c r="Q847" s="595"/>
      <c r="R847" s="595"/>
      <c r="S847" s="595"/>
      <c r="T847" s="595"/>
      <c r="U847" s="595"/>
      <c r="V847" s="595"/>
      <c r="W847" s="594"/>
      <c r="X847" s="594"/>
      <c r="Y847" s="595"/>
      <c r="Z847" s="595"/>
      <c r="AA847" s="595"/>
      <c r="AB847" s="595"/>
      <c r="AC847" s="595"/>
    </row>
    <row r="848" spans="1:29" ht="12.75" customHeight="1">
      <c r="A848" s="601"/>
      <c r="B848" s="602"/>
      <c r="C848" s="602"/>
      <c r="D848" s="602"/>
      <c r="E848" s="602"/>
      <c r="F848" s="602"/>
      <c r="G848" s="602"/>
      <c r="H848" s="602"/>
      <c r="I848" s="602"/>
      <c r="J848" s="602"/>
      <c r="K848" s="602"/>
      <c r="L848" s="603"/>
      <c r="M848" s="603"/>
      <c r="N848" s="603"/>
      <c r="O848" s="603"/>
      <c r="P848" s="603"/>
      <c r="Q848" s="595"/>
      <c r="R848" s="595"/>
      <c r="S848" s="595"/>
      <c r="T848" s="595"/>
      <c r="U848" s="595"/>
      <c r="V848" s="595"/>
      <c r="W848" s="594"/>
      <c r="X848" s="594"/>
      <c r="Y848" s="595"/>
      <c r="Z848" s="595"/>
      <c r="AA848" s="595"/>
      <c r="AB848" s="595"/>
      <c r="AC848" s="595"/>
    </row>
    <row r="849" spans="1:29" ht="12.75" customHeight="1">
      <c r="A849" s="601"/>
      <c r="B849" s="602"/>
      <c r="C849" s="602"/>
      <c r="D849" s="602"/>
      <c r="E849" s="602"/>
      <c r="F849" s="602"/>
      <c r="G849" s="602"/>
      <c r="H849" s="602"/>
      <c r="I849" s="602"/>
      <c r="J849" s="602"/>
      <c r="K849" s="602"/>
      <c r="L849" s="603"/>
      <c r="M849" s="603"/>
      <c r="N849" s="603"/>
      <c r="O849" s="603"/>
      <c r="P849" s="603"/>
      <c r="Q849" s="595"/>
      <c r="R849" s="595"/>
      <c r="S849" s="595"/>
      <c r="T849" s="595"/>
      <c r="U849" s="595"/>
      <c r="V849" s="595"/>
      <c r="W849" s="594"/>
      <c r="X849" s="594"/>
      <c r="Y849" s="595"/>
      <c r="Z849" s="595"/>
      <c r="AA849" s="595"/>
      <c r="AB849" s="595"/>
      <c r="AC849" s="595"/>
    </row>
    <row r="850" spans="1:29" ht="12.75" customHeight="1">
      <c r="A850" s="601"/>
      <c r="B850" s="602"/>
      <c r="C850" s="602"/>
      <c r="D850" s="602"/>
      <c r="E850" s="602"/>
      <c r="F850" s="602"/>
      <c r="G850" s="602"/>
      <c r="H850" s="602"/>
      <c r="I850" s="602"/>
      <c r="J850" s="602"/>
      <c r="K850" s="602"/>
      <c r="L850" s="603"/>
      <c r="M850" s="603"/>
      <c r="N850" s="603"/>
      <c r="O850" s="603"/>
      <c r="P850" s="603"/>
      <c r="Q850" s="595"/>
      <c r="R850" s="595"/>
      <c r="S850" s="595"/>
      <c r="T850" s="595"/>
      <c r="U850" s="595"/>
      <c r="V850" s="595"/>
      <c r="W850" s="594"/>
      <c r="X850" s="594"/>
      <c r="Y850" s="595"/>
      <c r="Z850" s="595"/>
      <c r="AA850" s="595"/>
      <c r="AB850" s="595"/>
      <c r="AC850" s="595"/>
    </row>
    <row r="851" spans="1:29" ht="12.75" customHeight="1">
      <c r="A851" s="601"/>
      <c r="B851" s="602"/>
      <c r="C851" s="602"/>
      <c r="D851" s="602"/>
      <c r="E851" s="602"/>
      <c r="F851" s="602"/>
      <c r="G851" s="602"/>
      <c r="H851" s="602"/>
      <c r="I851" s="602"/>
      <c r="J851" s="602"/>
      <c r="K851" s="602"/>
      <c r="L851" s="603"/>
      <c r="M851" s="603"/>
      <c r="N851" s="603"/>
      <c r="O851" s="603"/>
      <c r="P851" s="603"/>
      <c r="Q851" s="595"/>
      <c r="R851" s="595"/>
      <c r="S851" s="595"/>
      <c r="T851" s="595"/>
      <c r="U851" s="595"/>
      <c r="V851" s="595"/>
      <c r="W851" s="594"/>
      <c r="X851" s="594"/>
      <c r="Y851" s="595"/>
      <c r="Z851" s="595"/>
      <c r="AA851" s="595"/>
      <c r="AB851" s="595"/>
      <c r="AC851" s="595"/>
    </row>
    <row r="852" spans="1:29" ht="12.75" customHeight="1">
      <c r="A852" s="601"/>
      <c r="B852" s="602"/>
      <c r="C852" s="602"/>
      <c r="D852" s="602"/>
      <c r="E852" s="602"/>
      <c r="F852" s="602"/>
      <c r="G852" s="602"/>
      <c r="H852" s="602"/>
      <c r="I852" s="602"/>
      <c r="J852" s="602"/>
      <c r="K852" s="602"/>
      <c r="L852" s="603"/>
      <c r="M852" s="603"/>
      <c r="N852" s="603"/>
      <c r="O852" s="603"/>
      <c r="P852" s="603"/>
      <c r="Q852" s="595"/>
      <c r="R852" s="595"/>
      <c r="S852" s="595"/>
      <c r="T852" s="595"/>
      <c r="U852" s="595"/>
      <c r="V852" s="595"/>
      <c r="W852" s="594"/>
      <c r="X852" s="594"/>
      <c r="Y852" s="595"/>
      <c r="Z852" s="595"/>
      <c r="AA852" s="595"/>
      <c r="AB852" s="595"/>
      <c r="AC852" s="595"/>
    </row>
    <row r="853" spans="1:29" ht="12.75" customHeight="1">
      <c r="A853" s="601"/>
      <c r="B853" s="602"/>
      <c r="C853" s="602"/>
      <c r="D853" s="602"/>
      <c r="E853" s="602"/>
      <c r="F853" s="602"/>
      <c r="G853" s="602"/>
      <c r="H853" s="602"/>
      <c r="I853" s="602"/>
      <c r="J853" s="602"/>
      <c r="K853" s="602"/>
      <c r="L853" s="603"/>
      <c r="M853" s="603"/>
      <c r="N853" s="603"/>
      <c r="O853" s="603"/>
      <c r="P853" s="603"/>
      <c r="Q853" s="595"/>
      <c r="R853" s="595"/>
      <c r="S853" s="595"/>
      <c r="T853" s="595"/>
      <c r="U853" s="595"/>
      <c r="V853" s="595"/>
      <c r="W853" s="594"/>
      <c r="X853" s="594"/>
      <c r="Y853" s="595"/>
      <c r="Z853" s="595"/>
      <c r="AA853" s="595"/>
      <c r="AB853" s="595"/>
      <c r="AC853" s="595"/>
    </row>
    <row r="854" spans="1:29" ht="12.75" customHeight="1">
      <c r="A854" s="601"/>
      <c r="B854" s="602"/>
      <c r="C854" s="602"/>
      <c r="D854" s="602"/>
      <c r="E854" s="602"/>
      <c r="F854" s="602"/>
      <c r="G854" s="602"/>
      <c r="H854" s="602"/>
      <c r="I854" s="602"/>
      <c r="J854" s="602"/>
      <c r="K854" s="602"/>
      <c r="L854" s="603"/>
      <c r="M854" s="603"/>
      <c r="N854" s="603"/>
      <c r="O854" s="603"/>
      <c r="P854" s="603"/>
      <c r="Q854" s="595"/>
      <c r="R854" s="595"/>
      <c r="S854" s="595"/>
      <c r="T854" s="595"/>
      <c r="U854" s="595"/>
      <c r="V854" s="595"/>
      <c r="W854" s="594"/>
      <c r="X854" s="594"/>
      <c r="Y854" s="595"/>
      <c r="Z854" s="595"/>
      <c r="AA854" s="595"/>
      <c r="AB854" s="595"/>
      <c r="AC854" s="595"/>
    </row>
    <row r="855" spans="1:29" ht="12.75" customHeight="1">
      <c r="A855" s="601"/>
      <c r="B855" s="602"/>
      <c r="C855" s="602"/>
      <c r="D855" s="602"/>
      <c r="E855" s="602"/>
      <c r="F855" s="602"/>
      <c r="G855" s="602"/>
      <c r="H855" s="602"/>
      <c r="I855" s="602"/>
      <c r="J855" s="602"/>
      <c r="K855" s="602"/>
      <c r="L855" s="603"/>
      <c r="M855" s="603"/>
      <c r="N855" s="603"/>
      <c r="O855" s="603"/>
      <c r="P855" s="603"/>
      <c r="Q855" s="595"/>
      <c r="R855" s="595"/>
      <c r="S855" s="595"/>
      <c r="T855" s="595"/>
      <c r="U855" s="595"/>
      <c r="V855" s="595"/>
      <c r="W855" s="594"/>
      <c r="X855" s="594"/>
      <c r="Y855" s="595"/>
      <c r="Z855" s="595"/>
      <c r="AA855" s="595"/>
      <c r="AB855" s="595"/>
      <c r="AC855" s="595"/>
    </row>
    <row r="856" spans="1:29" ht="12.75" customHeight="1">
      <c r="A856" s="601"/>
      <c r="B856" s="602"/>
      <c r="C856" s="602"/>
      <c r="D856" s="602"/>
      <c r="E856" s="602"/>
      <c r="F856" s="602"/>
      <c r="G856" s="602"/>
      <c r="H856" s="602"/>
      <c r="I856" s="602"/>
      <c r="J856" s="602"/>
      <c r="K856" s="602"/>
      <c r="L856" s="603"/>
      <c r="M856" s="603"/>
      <c r="N856" s="603"/>
      <c r="O856" s="603"/>
      <c r="P856" s="603"/>
      <c r="Q856" s="595"/>
      <c r="R856" s="595"/>
      <c r="S856" s="595"/>
      <c r="T856" s="595"/>
      <c r="U856" s="595"/>
      <c r="V856" s="595"/>
      <c r="W856" s="594"/>
      <c r="X856" s="594"/>
      <c r="Y856" s="595"/>
      <c r="Z856" s="595"/>
      <c r="AA856" s="595"/>
      <c r="AB856" s="595"/>
      <c r="AC856" s="595"/>
    </row>
    <row r="857" spans="1:29" ht="12.75" customHeight="1">
      <c r="A857" s="601"/>
      <c r="B857" s="602"/>
      <c r="C857" s="602"/>
      <c r="D857" s="602"/>
      <c r="E857" s="602"/>
      <c r="F857" s="602"/>
      <c r="G857" s="602"/>
      <c r="H857" s="602"/>
      <c r="I857" s="602"/>
      <c r="J857" s="602"/>
      <c r="K857" s="602"/>
      <c r="L857" s="603"/>
      <c r="M857" s="603"/>
      <c r="N857" s="603"/>
      <c r="O857" s="603"/>
      <c r="P857" s="603"/>
      <c r="Q857" s="595"/>
      <c r="R857" s="595"/>
      <c r="S857" s="595"/>
      <c r="T857" s="595"/>
      <c r="U857" s="595"/>
      <c r="V857" s="595"/>
      <c r="W857" s="594"/>
      <c r="X857" s="594"/>
      <c r="Y857" s="595"/>
      <c r="Z857" s="595"/>
      <c r="AA857" s="595"/>
      <c r="AB857" s="595"/>
      <c r="AC857" s="595"/>
    </row>
    <row r="858" spans="1:29" ht="12.75" customHeight="1">
      <c r="A858" s="601"/>
      <c r="B858" s="602"/>
      <c r="C858" s="602"/>
      <c r="D858" s="602"/>
      <c r="E858" s="602"/>
      <c r="F858" s="602"/>
      <c r="G858" s="602"/>
      <c r="H858" s="602"/>
      <c r="I858" s="602"/>
      <c r="J858" s="602"/>
      <c r="K858" s="602"/>
      <c r="L858" s="603"/>
      <c r="M858" s="603"/>
      <c r="N858" s="603"/>
      <c r="O858" s="603"/>
      <c r="P858" s="603"/>
      <c r="Q858" s="595"/>
      <c r="R858" s="595"/>
      <c r="S858" s="595"/>
      <c r="T858" s="595"/>
      <c r="U858" s="595"/>
      <c r="V858" s="595"/>
      <c r="W858" s="594"/>
      <c r="X858" s="594"/>
      <c r="Y858" s="595"/>
      <c r="Z858" s="595"/>
      <c r="AA858" s="595"/>
      <c r="AB858" s="595"/>
      <c r="AC858" s="595"/>
    </row>
    <row r="859" spans="1:29" ht="12.75" customHeight="1">
      <c r="A859" s="601"/>
      <c r="B859" s="602"/>
      <c r="C859" s="602"/>
      <c r="D859" s="602"/>
      <c r="E859" s="602"/>
      <c r="F859" s="602"/>
      <c r="G859" s="602"/>
      <c r="H859" s="602"/>
      <c r="I859" s="602"/>
      <c r="J859" s="602"/>
      <c r="K859" s="602"/>
      <c r="L859" s="603"/>
      <c r="M859" s="603"/>
      <c r="N859" s="603"/>
      <c r="O859" s="603"/>
      <c r="P859" s="603"/>
      <c r="Q859" s="595"/>
      <c r="R859" s="595"/>
      <c r="S859" s="595"/>
      <c r="T859" s="595"/>
      <c r="U859" s="595"/>
      <c r="V859" s="595"/>
      <c r="W859" s="594"/>
      <c r="X859" s="594"/>
      <c r="Y859" s="595"/>
      <c r="Z859" s="595"/>
      <c r="AA859" s="595"/>
      <c r="AB859" s="595"/>
      <c r="AC859" s="595"/>
    </row>
    <row r="860" spans="1:29" ht="12.75" customHeight="1">
      <c r="A860" s="601"/>
      <c r="B860" s="602"/>
      <c r="C860" s="602"/>
      <c r="D860" s="602"/>
      <c r="E860" s="602"/>
      <c r="F860" s="602"/>
      <c r="G860" s="602"/>
      <c r="H860" s="602"/>
      <c r="I860" s="602"/>
      <c r="J860" s="602"/>
      <c r="K860" s="602"/>
      <c r="L860" s="603"/>
      <c r="M860" s="603"/>
      <c r="N860" s="603"/>
      <c r="O860" s="603"/>
      <c r="P860" s="603"/>
      <c r="Q860" s="595"/>
      <c r="R860" s="595"/>
      <c r="S860" s="595"/>
      <c r="T860" s="595"/>
      <c r="U860" s="595"/>
      <c r="V860" s="595"/>
      <c r="W860" s="594"/>
      <c r="X860" s="594"/>
      <c r="Y860" s="595"/>
      <c r="Z860" s="595"/>
      <c r="AA860" s="595"/>
      <c r="AB860" s="595"/>
      <c r="AC860" s="595"/>
    </row>
    <row r="861" spans="1:29" ht="12.75" customHeight="1">
      <c r="A861" s="601"/>
      <c r="B861" s="602"/>
      <c r="C861" s="602"/>
      <c r="D861" s="602"/>
      <c r="E861" s="602"/>
      <c r="F861" s="602"/>
      <c r="G861" s="602"/>
      <c r="H861" s="602"/>
      <c r="I861" s="602"/>
      <c r="J861" s="602"/>
      <c r="K861" s="602"/>
      <c r="L861" s="603"/>
      <c r="M861" s="603"/>
      <c r="N861" s="603"/>
      <c r="O861" s="603"/>
      <c r="P861" s="603"/>
      <c r="Q861" s="595"/>
      <c r="R861" s="595"/>
      <c r="S861" s="595"/>
      <c r="T861" s="595"/>
      <c r="U861" s="595"/>
      <c r="V861" s="595"/>
      <c r="W861" s="594"/>
      <c r="X861" s="594"/>
      <c r="Y861" s="595"/>
      <c r="Z861" s="595"/>
      <c r="AA861" s="595"/>
      <c r="AB861" s="595"/>
      <c r="AC861" s="595"/>
    </row>
    <row r="862" spans="1:29" ht="12.75" customHeight="1">
      <c r="A862" s="601"/>
      <c r="B862" s="602"/>
      <c r="C862" s="602"/>
      <c r="D862" s="602"/>
      <c r="E862" s="602"/>
      <c r="F862" s="602"/>
      <c r="G862" s="602"/>
      <c r="H862" s="602"/>
      <c r="I862" s="602"/>
      <c r="J862" s="602"/>
      <c r="K862" s="602"/>
      <c r="L862" s="603"/>
      <c r="M862" s="603"/>
      <c r="N862" s="603"/>
      <c r="O862" s="603"/>
      <c r="P862" s="603"/>
      <c r="Q862" s="595"/>
      <c r="R862" s="595"/>
      <c r="S862" s="595"/>
      <c r="T862" s="595"/>
      <c r="U862" s="595"/>
      <c r="V862" s="595"/>
      <c r="W862" s="594"/>
      <c r="X862" s="594"/>
      <c r="Y862" s="595"/>
      <c r="Z862" s="595"/>
      <c r="AA862" s="595"/>
      <c r="AB862" s="595"/>
      <c r="AC862" s="595"/>
    </row>
    <row r="863" spans="1:29" ht="12.75" customHeight="1">
      <c r="A863" s="601"/>
      <c r="B863" s="602"/>
      <c r="C863" s="602"/>
      <c r="D863" s="602"/>
      <c r="E863" s="602"/>
      <c r="F863" s="602"/>
      <c r="G863" s="602"/>
      <c r="H863" s="602"/>
      <c r="I863" s="602"/>
      <c r="J863" s="602"/>
      <c r="K863" s="602"/>
      <c r="L863" s="603"/>
      <c r="M863" s="603"/>
      <c r="N863" s="603"/>
      <c r="O863" s="603"/>
      <c r="P863" s="603"/>
      <c r="Q863" s="595"/>
      <c r="R863" s="595"/>
      <c r="S863" s="595"/>
      <c r="T863" s="595"/>
      <c r="U863" s="595"/>
      <c r="V863" s="595"/>
      <c r="W863" s="594"/>
      <c r="X863" s="594"/>
      <c r="Y863" s="595"/>
      <c r="Z863" s="595"/>
      <c r="AA863" s="595"/>
      <c r="AB863" s="595"/>
      <c r="AC863" s="595"/>
    </row>
    <row r="864" spans="1:29" ht="12.75" customHeight="1">
      <c r="A864" s="601"/>
      <c r="B864" s="602"/>
      <c r="C864" s="602"/>
      <c r="D864" s="602"/>
      <c r="E864" s="602"/>
      <c r="F864" s="602"/>
      <c r="G864" s="602"/>
      <c r="H864" s="602"/>
      <c r="I864" s="602"/>
      <c r="J864" s="602"/>
      <c r="K864" s="602"/>
      <c r="L864" s="603"/>
      <c r="M864" s="603"/>
      <c r="N864" s="603"/>
      <c r="O864" s="603"/>
      <c r="P864" s="603"/>
      <c r="Q864" s="595"/>
      <c r="R864" s="595"/>
      <c r="S864" s="595"/>
      <c r="T864" s="595"/>
      <c r="U864" s="595"/>
      <c r="V864" s="595"/>
      <c r="W864" s="594"/>
      <c r="X864" s="594"/>
      <c r="Y864" s="595"/>
      <c r="Z864" s="595"/>
      <c r="AA864" s="595"/>
      <c r="AB864" s="595"/>
      <c r="AC864" s="595"/>
    </row>
    <row r="865" spans="1:29" ht="12.75" customHeight="1">
      <c r="A865" s="601"/>
      <c r="B865" s="602"/>
      <c r="C865" s="602"/>
      <c r="D865" s="602"/>
      <c r="E865" s="602"/>
      <c r="F865" s="602"/>
      <c r="G865" s="602"/>
      <c r="H865" s="602"/>
      <c r="I865" s="602"/>
      <c r="J865" s="602"/>
      <c r="K865" s="602"/>
      <c r="L865" s="603"/>
      <c r="M865" s="603"/>
      <c r="N865" s="603"/>
      <c r="O865" s="603"/>
      <c r="P865" s="603"/>
      <c r="Q865" s="595"/>
      <c r="R865" s="595"/>
      <c r="S865" s="595"/>
      <c r="T865" s="595"/>
      <c r="U865" s="595"/>
      <c r="V865" s="595"/>
      <c r="W865" s="594"/>
      <c r="X865" s="594"/>
      <c r="Y865" s="595"/>
      <c r="Z865" s="595"/>
      <c r="AA865" s="595"/>
      <c r="AB865" s="595"/>
      <c r="AC865" s="595"/>
    </row>
    <row r="866" spans="1:29" ht="12.75" customHeight="1">
      <c r="A866" s="601"/>
      <c r="B866" s="602"/>
      <c r="C866" s="602"/>
      <c r="D866" s="602"/>
      <c r="E866" s="602"/>
      <c r="F866" s="602"/>
      <c r="G866" s="602"/>
      <c r="H866" s="602"/>
      <c r="I866" s="602"/>
      <c r="J866" s="602"/>
      <c r="K866" s="602"/>
      <c r="L866" s="603"/>
      <c r="M866" s="603"/>
      <c r="N866" s="603"/>
      <c r="O866" s="603"/>
      <c r="P866" s="603"/>
      <c r="Q866" s="595"/>
      <c r="R866" s="595"/>
      <c r="S866" s="595"/>
      <c r="T866" s="595"/>
      <c r="U866" s="595"/>
      <c r="V866" s="595"/>
      <c r="W866" s="594"/>
      <c r="X866" s="594"/>
      <c r="Y866" s="595"/>
      <c r="Z866" s="595"/>
      <c r="AA866" s="595"/>
      <c r="AB866" s="595"/>
      <c r="AC866" s="595"/>
    </row>
    <row r="867" spans="1:29" ht="12.75" customHeight="1">
      <c r="A867" s="601"/>
      <c r="B867" s="602"/>
      <c r="C867" s="602"/>
      <c r="D867" s="602"/>
      <c r="E867" s="602"/>
      <c r="F867" s="602"/>
      <c r="G867" s="602"/>
      <c r="H867" s="602"/>
      <c r="I867" s="602"/>
      <c r="J867" s="602"/>
      <c r="K867" s="602"/>
      <c r="L867" s="603"/>
      <c r="M867" s="603"/>
      <c r="N867" s="603"/>
      <c r="O867" s="603"/>
      <c r="P867" s="603"/>
      <c r="Q867" s="595"/>
      <c r="R867" s="595"/>
      <c r="S867" s="595"/>
      <c r="T867" s="595"/>
      <c r="U867" s="595"/>
      <c r="V867" s="595"/>
      <c r="W867" s="594"/>
      <c r="X867" s="594"/>
      <c r="Y867" s="595"/>
      <c r="Z867" s="595"/>
      <c r="AA867" s="595"/>
      <c r="AB867" s="595"/>
      <c r="AC867" s="595"/>
    </row>
    <row r="868" spans="1:29" ht="12.75" customHeight="1">
      <c r="A868" s="601"/>
      <c r="B868" s="602"/>
      <c r="C868" s="602"/>
      <c r="D868" s="602"/>
      <c r="E868" s="602"/>
      <c r="F868" s="602"/>
      <c r="G868" s="602"/>
      <c r="H868" s="602"/>
      <c r="I868" s="602"/>
      <c r="J868" s="602"/>
      <c r="K868" s="602"/>
      <c r="L868" s="603"/>
      <c r="M868" s="603"/>
      <c r="N868" s="603"/>
      <c r="O868" s="603"/>
      <c r="P868" s="603"/>
      <c r="Q868" s="595"/>
      <c r="R868" s="595"/>
      <c r="S868" s="595"/>
      <c r="T868" s="595"/>
      <c r="U868" s="595"/>
      <c r="V868" s="595"/>
      <c r="W868" s="594"/>
      <c r="X868" s="594"/>
      <c r="Y868" s="595"/>
      <c r="Z868" s="595"/>
      <c r="AA868" s="595"/>
      <c r="AB868" s="595"/>
      <c r="AC868" s="595"/>
    </row>
    <row r="869" spans="1:29" ht="12.75" customHeight="1">
      <c r="A869" s="601"/>
      <c r="B869" s="602"/>
      <c r="C869" s="602"/>
      <c r="D869" s="602"/>
      <c r="E869" s="602"/>
      <c r="F869" s="602"/>
      <c r="G869" s="602"/>
      <c r="H869" s="602"/>
      <c r="I869" s="602"/>
      <c r="J869" s="602"/>
      <c r="K869" s="602"/>
      <c r="L869" s="603"/>
      <c r="M869" s="603"/>
      <c r="N869" s="603"/>
      <c r="O869" s="603"/>
      <c r="P869" s="603"/>
      <c r="Q869" s="595"/>
      <c r="R869" s="595"/>
      <c r="S869" s="595"/>
      <c r="T869" s="595"/>
      <c r="U869" s="595"/>
      <c r="V869" s="595"/>
      <c r="W869" s="594"/>
      <c r="X869" s="594"/>
      <c r="Y869" s="595"/>
      <c r="Z869" s="595"/>
      <c r="AA869" s="595"/>
      <c r="AB869" s="595"/>
      <c r="AC869" s="595"/>
    </row>
    <row r="870" spans="1:29" ht="12.75" customHeight="1">
      <c r="A870" s="601"/>
      <c r="B870" s="602"/>
      <c r="C870" s="602"/>
      <c r="D870" s="602"/>
      <c r="E870" s="602"/>
      <c r="F870" s="602"/>
      <c r="G870" s="602"/>
      <c r="H870" s="602"/>
      <c r="I870" s="602"/>
      <c r="J870" s="602"/>
      <c r="K870" s="602"/>
      <c r="L870" s="603"/>
      <c r="M870" s="603"/>
      <c r="N870" s="603"/>
      <c r="O870" s="603"/>
      <c r="P870" s="603"/>
      <c r="Q870" s="595"/>
      <c r="R870" s="595"/>
      <c r="S870" s="595"/>
      <c r="T870" s="595"/>
      <c r="U870" s="595"/>
      <c r="V870" s="595"/>
      <c r="W870" s="594"/>
      <c r="X870" s="594"/>
      <c r="Y870" s="595"/>
      <c r="Z870" s="595"/>
      <c r="AA870" s="595"/>
      <c r="AB870" s="595"/>
      <c r="AC870" s="595"/>
    </row>
    <row r="871" spans="1:29" ht="12.75" customHeight="1">
      <c r="A871" s="601"/>
      <c r="B871" s="602"/>
      <c r="C871" s="602"/>
      <c r="D871" s="602"/>
      <c r="E871" s="602"/>
      <c r="F871" s="602"/>
      <c r="G871" s="602"/>
      <c r="H871" s="602"/>
      <c r="I871" s="602"/>
      <c r="J871" s="602"/>
      <c r="K871" s="602"/>
      <c r="L871" s="603"/>
      <c r="M871" s="603"/>
      <c r="N871" s="603"/>
      <c r="O871" s="603"/>
      <c r="P871" s="603"/>
      <c r="Q871" s="595"/>
      <c r="R871" s="595"/>
      <c r="S871" s="595"/>
      <c r="T871" s="595"/>
      <c r="U871" s="595"/>
      <c r="V871" s="595"/>
      <c r="W871" s="594"/>
      <c r="X871" s="594"/>
      <c r="Y871" s="595"/>
      <c r="Z871" s="595"/>
      <c r="AA871" s="595"/>
      <c r="AB871" s="595"/>
      <c r="AC871" s="595"/>
    </row>
    <row r="872" spans="1:29" ht="12.75" customHeight="1">
      <c r="A872" s="601"/>
      <c r="B872" s="602"/>
      <c r="C872" s="602"/>
      <c r="D872" s="602"/>
      <c r="E872" s="602"/>
      <c r="F872" s="602"/>
      <c r="G872" s="602"/>
      <c r="H872" s="602"/>
      <c r="I872" s="602"/>
      <c r="J872" s="602"/>
      <c r="K872" s="602"/>
      <c r="L872" s="603"/>
      <c r="M872" s="603"/>
      <c r="N872" s="603"/>
      <c r="O872" s="603"/>
      <c r="P872" s="603"/>
      <c r="Q872" s="595"/>
      <c r="R872" s="595"/>
      <c r="S872" s="595"/>
      <c r="T872" s="595"/>
      <c r="U872" s="595"/>
      <c r="V872" s="595"/>
      <c r="W872" s="594"/>
      <c r="X872" s="594"/>
      <c r="Y872" s="595"/>
      <c r="Z872" s="595"/>
      <c r="AA872" s="595"/>
      <c r="AB872" s="595"/>
      <c r="AC872" s="595"/>
    </row>
    <row r="873" spans="1:29" ht="12.75" customHeight="1">
      <c r="A873" s="601"/>
      <c r="B873" s="602"/>
      <c r="C873" s="602"/>
      <c r="D873" s="602"/>
      <c r="E873" s="602"/>
      <c r="F873" s="602"/>
      <c r="G873" s="602"/>
      <c r="H873" s="602"/>
      <c r="I873" s="602"/>
      <c r="J873" s="602"/>
      <c r="K873" s="602"/>
      <c r="L873" s="603"/>
      <c r="M873" s="603"/>
      <c r="N873" s="603"/>
      <c r="O873" s="603"/>
      <c r="P873" s="603"/>
      <c r="Q873" s="595"/>
      <c r="R873" s="595"/>
      <c r="S873" s="595"/>
      <c r="T873" s="595"/>
      <c r="U873" s="595"/>
      <c r="V873" s="595"/>
      <c r="W873" s="594"/>
      <c r="X873" s="594"/>
      <c r="Y873" s="595"/>
      <c r="Z873" s="595"/>
      <c r="AA873" s="595"/>
      <c r="AB873" s="595"/>
      <c r="AC873" s="595"/>
    </row>
    <row r="874" spans="1:29" ht="12.75" customHeight="1">
      <c r="A874" s="601"/>
      <c r="B874" s="602"/>
      <c r="C874" s="602"/>
      <c r="D874" s="602"/>
      <c r="E874" s="602"/>
      <c r="F874" s="602"/>
      <c r="G874" s="602"/>
      <c r="H874" s="602"/>
      <c r="I874" s="602"/>
      <c r="J874" s="602"/>
      <c r="K874" s="602"/>
      <c r="L874" s="603"/>
      <c r="M874" s="603"/>
      <c r="N874" s="603"/>
      <c r="O874" s="603"/>
      <c r="P874" s="603"/>
      <c r="Q874" s="595"/>
      <c r="R874" s="595"/>
      <c r="S874" s="595"/>
      <c r="T874" s="595"/>
      <c r="U874" s="595"/>
      <c r="V874" s="595"/>
      <c r="W874" s="594"/>
      <c r="X874" s="594"/>
      <c r="Y874" s="595"/>
      <c r="Z874" s="595"/>
      <c r="AA874" s="595"/>
      <c r="AB874" s="595"/>
      <c r="AC874" s="595"/>
    </row>
    <row r="875" spans="1:29" ht="12.75" customHeight="1">
      <c r="A875" s="601"/>
      <c r="B875" s="602"/>
      <c r="C875" s="602"/>
      <c r="D875" s="602"/>
      <c r="E875" s="602"/>
      <c r="F875" s="602"/>
      <c r="G875" s="602"/>
      <c r="H875" s="602"/>
      <c r="I875" s="602"/>
      <c r="J875" s="602"/>
      <c r="K875" s="602"/>
      <c r="L875" s="603"/>
      <c r="M875" s="603"/>
      <c r="N875" s="603"/>
      <c r="O875" s="603"/>
      <c r="P875" s="603"/>
      <c r="Q875" s="595"/>
      <c r="R875" s="595"/>
      <c r="S875" s="595"/>
      <c r="T875" s="595"/>
      <c r="U875" s="595"/>
      <c r="V875" s="595"/>
      <c r="W875" s="594"/>
      <c r="X875" s="594"/>
      <c r="Y875" s="595"/>
      <c r="Z875" s="595"/>
      <c r="AA875" s="595"/>
      <c r="AB875" s="595"/>
      <c r="AC875" s="595"/>
    </row>
    <row r="876" spans="1:29" ht="12.75" customHeight="1">
      <c r="A876" s="601"/>
      <c r="B876" s="602"/>
      <c r="C876" s="602"/>
      <c r="D876" s="602"/>
      <c r="E876" s="602"/>
      <c r="F876" s="602"/>
      <c r="G876" s="602"/>
      <c r="H876" s="602"/>
      <c r="I876" s="602"/>
      <c r="J876" s="602"/>
      <c r="K876" s="602"/>
      <c r="L876" s="603"/>
      <c r="M876" s="603"/>
      <c r="N876" s="603"/>
      <c r="O876" s="603"/>
      <c r="P876" s="603"/>
      <c r="Q876" s="595"/>
      <c r="R876" s="595"/>
      <c r="S876" s="595"/>
      <c r="T876" s="595"/>
      <c r="U876" s="595"/>
      <c r="V876" s="595"/>
      <c r="W876" s="594"/>
      <c r="X876" s="594"/>
      <c r="Y876" s="595"/>
      <c r="Z876" s="595"/>
      <c r="AA876" s="595"/>
      <c r="AB876" s="595"/>
      <c r="AC876" s="595"/>
    </row>
    <row r="877" spans="1:29" ht="12.75" customHeight="1">
      <c r="A877" s="601"/>
      <c r="B877" s="602"/>
      <c r="C877" s="602"/>
      <c r="D877" s="602"/>
      <c r="E877" s="602"/>
      <c r="F877" s="602"/>
      <c r="G877" s="602"/>
      <c r="H877" s="602"/>
      <c r="I877" s="602"/>
      <c r="J877" s="602"/>
      <c r="K877" s="602"/>
      <c r="L877" s="603"/>
      <c r="M877" s="603"/>
      <c r="N877" s="603"/>
      <c r="O877" s="603"/>
      <c r="P877" s="603"/>
      <c r="Q877" s="595"/>
      <c r="R877" s="595"/>
      <c r="S877" s="595"/>
      <c r="T877" s="595"/>
      <c r="U877" s="595"/>
      <c r="V877" s="595"/>
      <c r="W877" s="594"/>
      <c r="X877" s="594"/>
      <c r="Y877" s="595"/>
      <c r="Z877" s="595"/>
      <c r="AA877" s="595"/>
      <c r="AB877" s="595"/>
      <c r="AC877" s="595"/>
    </row>
    <row r="878" spans="1:29" ht="12.75" customHeight="1">
      <c r="A878" s="601"/>
      <c r="B878" s="602"/>
      <c r="C878" s="602"/>
      <c r="D878" s="602"/>
      <c r="E878" s="602"/>
      <c r="F878" s="602"/>
      <c r="G878" s="602"/>
      <c r="H878" s="602"/>
      <c r="I878" s="602"/>
      <c r="J878" s="602"/>
      <c r="K878" s="602"/>
      <c r="L878" s="603"/>
      <c r="M878" s="603"/>
      <c r="N878" s="603"/>
      <c r="O878" s="603"/>
      <c r="P878" s="603"/>
      <c r="Q878" s="595"/>
      <c r="R878" s="595"/>
      <c r="S878" s="595"/>
      <c r="T878" s="595"/>
      <c r="U878" s="595"/>
      <c r="V878" s="595"/>
      <c r="W878" s="594"/>
      <c r="X878" s="594"/>
      <c r="Y878" s="595"/>
      <c r="Z878" s="595"/>
      <c r="AA878" s="595"/>
      <c r="AB878" s="595"/>
      <c r="AC878" s="595"/>
    </row>
    <row r="879" spans="1:29" ht="12.75" customHeight="1">
      <c r="A879" s="601"/>
      <c r="B879" s="602"/>
      <c r="C879" s="602"/>
      <c r="D879" s="602"/>
      <c r="E879" s="602"/>
      <c r="F879" s="602"/>
      <c r="G879" s="602"/>
      <c r="H879" s="602"/>
      <c r="I879" s="602"/>
      <c r="J879" s="602"/>
      <c r="K879" s="602"/>
      <c r="L879" s="603"/>
      <c r="M879" s="603"/>
      <c r="N879" s="603"/>
      <c r="O879" s="603"/>
      <c r="P879" s="603"/>
      <c r="Q879" s="595"/>
      <c r="R879" s="595"/>
      <c r="S879" s="595"/>
      <c r="T879" s="595"/>
      <c r="U879" s="595"/>
      <c r="V879" s="595"/>
      <c r="W879" s="594"/>
      <c r="X879" s="594"/>
      <c r="Y879" s="595"/>
      <c r="Z879" s="595"/>
      <c r="AA879" s="595"/>
      <c r="AB879" s="595"/>
      <c r="AC879" s="595"/>
    </row>
    <row r="880" spans="1:29" ht="12.75" customHeight="1">
      <c r="A880" s="601"/>
      <c r="B880" s="602"/>
      <c r="C880" s="602"/>
      <c r="D880" s="602"/>
      <c r="E880" s="602"/>
      <c r="F880" s="602"/>
      <c r="G880" s="602"/>
      <c r="H880" s="602"/>
      <c r="I880" s="602"/>
      <c r="J880" s="602"/>
      <c r="K880" s="602"/>
      <c r="L880" s="603"/>
      <c r="M880" s="603"/>
      <c r="N880" s="603"/>
      <c r="O880" s="603"/>
      <c r="P880" s="603"/>
      <c r="Q880" s="595"/>
      <c r="R880" s="595"/>
      <c r="S880" s="595"/>
      <c r="T880" s="595"/>
      <c r="U880" s="595"/>
      <c r="V880" s="595"/>
      <c r="W880" s="594"/>
      <c r="X880" s="594"/>
      <c r="Y880" s="595"/>
      <c r="Z880" s="595"/>
      <c r="AA880" s="595"/>
      <c r="AB880" s="595"/>
      <c r="AC880" s="595"/>
    </row>
    <row r="881" spans="1:29" ht="12.75" customHeight="1">
      <c r="A881" s="601"/>
      <c r="B881" s="602"/>
      <c r="C881" s="602"/>
      <c r="D881" s="602"/>
      <c r="E881" s="602"/>
      <c r="F881" s="602"/>
      <c r="G881" s="602"/>
      <c r="H881" s="602"/>
      <c r="I881" s="602"/>
      <c r="J881" s="602"/>
      <c r="K881" s="602"/>
      <c r="L881" s="603"/>
      <c r="M881" s="603"/>
      <c r="N881" s="603"/>
      <c r="O881" s="603"/>
      <c r="P881" s="603"/>
      <c r="Q881" s="595"/>
      <c r="R881" s="595"/>
      <c r="S881" s="595"/>
      <c r="T881" s="595"/>
      <c r="U881" s="595"/>
      <c r="V881" s="595"/>
      <c r="W881" s="594"/>
      <c r="X881" s="594"/>
      <c r="Y881" s="595"/>
      <c r="Z881" s="595"/>
      <c r="AA881" s="595"/>
      <c r="AB881" s="595"/>
      <c r="AC881" s="595"/>
    </row>
    <row r="882" spans="1:29" ht="12.75" customHeight="1">
      <c r="A882" s="601"/>
      <c r="B882" s="602"/>
      <c r="C882" s="602"/>
      <c r="D882" s="602"/>
      <c r="E882" s="602"/>
      <c r="F882" s="602"/>
      <c r="G882" s="602"/>
      <c r="H882" s="602"/>
      <c r="I882" s="602"/>
      <c r="J882" s="602"/>
      <c r="K882" s="602"/>
      <c r="L882" s="603"/>
      <c r="M882" s="603"/>
      <c r="N882" s="603"/>
      <c r="O882" s="603"/>
      <c r="P882" s="603"/>
      <c r="Q882" s="595"/>
      <c r="R882" s="595"/>
      <c r="S882" s="595"/>
      <c r="T882" s="595"/>
      <c r="U882" s="595"/>
      <c r="V882" s="595"/>
      <c r="W882" s="594"/>
      <c r="X882" s="594"/>
      <c r="Y882" s="595"/>
      <c r="Z882" s="595"/>
      <c r="AA882" s="595"/>
      <c r="AB882" s="595"/>
      <c r="AC882" s="595"/>
    </row>
    <row r="883" spans="1:29" ht="12.75" customHeight="1">
      <c r="A883" s="601"/>
      <c r="B883" s="602"/>
      <c r="C883" s="602"/>
      <c r="D883" s="602"/>
      <c r="E883" s="602"/>
      <c r="F883" s="602"/>
      <c r="G883" s="602"/>
      <c r="H883" s="602"/>
      <c r="I883" s="602"/>
      <c r="J883" s="602"/>
      <c r="K883" s="602"/>
      <c r="L883" s="603"/>
      <c r="M883" s="603"/>
      <c r="N883" s="603"/>
      <c r="O883" s="603"/>
      <c r="P883" s="603"/>
      <c r="Q883" s="595"/>
      <c r="R883" s="595"/>
      <c r="S883" s="595"/>
      <c r="T883" s="595"/>
      <c r="U883" s="595"/>
      <c r="V883" s="595"/>
      <c r="W883" s="594"/>
      <c r="X883" s="594"/>
      <c r="Y883" s="595"/>
      <c r="Z883" s="595"/>
      <c r="AA883" s="595"/>
      <c r="AB883" s="595"/>
      <c r="AC883" s="595"/>
    </row>
    <row r="884" spans="1:29" ht="12.75" customHeight="1">
      <c r="A884" s="601"/>
      <c r="B884" s="602"/>
      <c r="C884" s="602"/>
      <c r="D884" s="602"/>
      <c r="E884" s="602"/>
      <c r="F884" s="602"/>
      <c r="G884" s="602"/>
      <c r="H884" s="602"/>
      <c r="I884" s="602"/>
      <c r="J884" s="602"/>
      <c r="K884" s="602"/>
      <c r="L884" s="603"/>
      <c r="M884" s="603"/>
      <c r="N884" s="603"/>
      <c r="O884" s="603"/>
      <c r="P884" s="603"/>
      <c r="Q884" s="595"/>
      <c r="R884" s="595"/>
      <c r="S884" s="595"/>
      <c r="T884" s="595"/>
      <c r="U884" s="595"/>
      <c r="V884" s="595"/>
      <c r="W884" s="594"/>
      <c r="X884" s="594"/>
      <c r="Y884" s="595"/>
      <c r="Z884" s="595"/>
      <c r="AA884" s="595"/>
      <c r="AB884" s="595"/>
      <c r="AC884" s="595"/>
    </row>
    <row r="885" spans="1:29" ht="12.75" customHeight="1">
      <c r="A885" s="601"/>
      <c r="B885" s="602"/>
      <c r="C885" s="602"/>
      <c r="D885" s="602"/>
      <c r="E885" s="602"/>
      <c r="F885" s="602"/>
      <c r="G885" s="602"/>
      <c r="H885" s="602"/>
      <c r="I885" s="602"/>
      <c r="J885" s="602"/>
      <c r="K885" s="602"/>
      <c r="L885" s="603"/>
      <c r="M885" s="603"/>
      <c r="N885" s="603"/>
      <c r="O885" s="603"/>
      <c r="P885" s="603"/>
      <c r="Q885" s="595"/>
      <c r="R885" s="595"/>
      <c r="S885" s="595"/>
      <c r="T885" s="595"/>
      <c r="U885" s="595"/>
      <c r="V885" s="595"/>
      <c r="W885" s="594"/>
      <c r="X885" s="594"/>
      <c r="Y885" s="595"/>
      <c r="Z885" s="595"/>
      <c r="AA885" s="595"/>
      <c r="AB885" s="595"/>
      <c r="AC885" s="595"/>
    </row>
    <row r="886" spans="1:29" ht="12.75" customHeight="1">
      <c r="A886" s="601"/>
      <c r="B886" s="602"/>
      <c r="C886" s="602"/>
      <c r="D886" s="602"/>
      <c r="E886" s="602"/>
      <c r="F886" s="602"/>
      <c r="G886" s="602"/>
      <c r="H886" s="602"/>
      <c r="I886" s="602"/>
      <c r="J886" s="602"/>
      <c r="K886" s="602"/>
      <c r="L886" s="603"/>
      <c r="M886" s="603"/>
      <c r="N886" s="603"/>
      <c r="O886" s="603"/>
      <c r="P886" s="603"/>
      <c r="Q886" s="595"/>
      <c r="R886" s="595"/>
      <c r="S886" s="595"/>
      <c r="T886" s="595"/>
      <c r="U886" s="595"/>
      <c r="V886" s="595"/>
      <c r="W886" s="594"/>
      <c r="X886" s="594"/>
      <c r="Y886" s="595"/>
      <c r="Z886" s="595"/>
      <c r="AA886" s="595"/>
      <c r="AB886" s="595"/>
      <c r="AC886" s="595"/>
    </row>
    <row r="887" spans="1:29" ht="12.75" customHeight="1">
      <c r="A887" s="601"/>
      <c r="B887" s="602"/>
      <c r="C887" s="602"/>
      <c r="D887" s="602"/>
      <c r="E887" s="602"/>
      <c r="F887" s="602"/>
      <c r="G887" s="602"/>
      <c r="H887" s="602"/>
      <c r="I887" s="602"/>
      <c r="J887" s="602"/>
      <c r="K887" s="602"/>
      <c r="L887" s="603"/>
      <c r="M887" s="603"/>
      <c r="N887" s="603"/>
      <c r="O887" s="603"/>
      <c r="P887" s="603"/>
      <c r="Q887" s="595"/>
      <c r="R887" s="595"/>
      <c r="S887" s="595"/>
      <c r="T887" s="595"/>
      <c r="U887" s="595"/>
      <c r="V887" s="595"/>
      <c r="W887" s="594"/>
      <c r="X887" s="594"/>
      <c r="Y887" s="595"/>
      <c r="Z887" s="595"/>
      <c r="AA887" s="595"/>
      <c r="AB887" s="595"/>
      <c r="AC887" s="595"/>
    </row>
    <row r="888" spans="1:29" ht="12.75" customHeight="1">
      <c r="A888" s="601"/>
      <c r="B888" s="602"/>
      <c r="C888" s="602"/>
      <c r="D888" s="602"/>
      <c r="E888" s="602"/>
      <c r="F888" s="602"/>
      <c r="G888" s="602"/>
      <c r="H888" s="602"/>
      <c r="I888" s="602"/>
      <c r="J888" s="602"/>
      <c r="K888" s="602"/>
      <c r="L888" s="603"/>
      <c r="M888" s="603"/>
      <c r="N888" s="603"/>
      <c r="O888" s="603"/>
      <c r="P888" s="603"/>
      <c r="Q888" s="595"/>
      <c r="R888" s="595"/>
      <c r="S888" s="595"/>
      <c r="T888" s="595"/>
      <c r="U888" s="595"/>
      <c r="V888" s="595"/>
      <c r="W888" s="594"/>
      <c r="X888" s="594"/>
      <c r="Y888" s="595"/>
      <c r="Z888" s="595"/>
      <c r="AA888" s="595"/>
      <c r="AB888" s="595"/>
      <c r="AC888" s="595"/>
    </row>
    <row r="889" spans="1:29" ht="12.75" customHeight="1">
      <c r="A889" s="601"/>
      <c r="B889" s="602"/>
      <c r="C889" s="602"/>
      <c r="D889" s="602"/>
      <c r="E889" s="602"/>
      <c r="F889" s="602"/>
      <c r="G889" s="602"/>
      <c r="H889" s="602"/>
      <c r="I889" s="602"/>
      <c r="J889" s="602"/>
      <c r="K889" s="602"/>
      <c r="L889" s="603"/>
      <c r="M889" s="603"/>
      <c r="N889" s="603"/>
      <c r="O889" s="603"/>
      <c r="P889" s="603"/>
      <c r="Q889" s="595"/>
      <c r="R889" s="595"/>
      <c r="S889" s="595"/>
      <c r="T889" s="595"/>
      <c r="U889" s="595"/>
      <c r="V889" s="595"/>
      <c r="W889" s="594"/>
      <c r="X889" s="594"/>
      <c r="Y889" s="595"/>
      <c r="Z889" s="595"/>
      <c r="AA889" s="595"/>
      <c r="AB889" s="595"/>
      <c r="AC889" s="595"/>
    </row>
    <row r="890" spans="1:29" ht="12.75" customHeight="1">
      <c r="A890" s="601"/>
      <c r="B890" s="602"/>
      <c r="C890" s="602"/>
      <c r="D890" s="602"/>
      <c r="E890" s="602"/>
      <c r="F890" s="602"/>
      <c r="G890" s="602"/>
      <c r="H890" s="602"/>
      <c r="I890" s="602"/>
      <c r="J890" s="602"/>
      <c r="K890" s="602"/>
      <c r="L890" s="603"/>
      <c r="M890" s="603"/>
      <c r="N890" s="603"/>
      <c r="O890" s="603"/>
      <c r="P890" s="603"/>
      <c r="Q890" s="595"/>
      <c r="R890" s="595"/>
      <c r="S890" s="595"/>
      <c r="T890" s="595"/>
      <c r="U890" s="595"/>
      <c r="V890" s="595"/>
      <c r="W890" s="594"/>
      <c r="X890" s="594"/>
      <c r="Y890" s="595"/>
      <c r="Z890" s="595"/>
      <c r="AA890" s="595"/>
      <c r="AB890" s="595"/>
      <c r="AC890" s="595"/>
    </row>
    <row r="891" spans="1:29" ht="12.75" customHeight="1">
      <c r="A891" s="601"/>
      <c r="B891" s="602"/>
      <c r="C891" s="602"/>
      <c r="D891" s="602"/>
      <c r="E891" s="602"/>
      <c r="F891" s="602"/>
      <c r="G891" s="602"/>
      <c r="H891" s="602"/>
      <c r="I891" s="602"/>
      <c r="J891" s="602"/>
      <c r="K891" s="602"/>
      <c r="L891" s="603"/>
      <c r="M891" s="603"/>
      <c r="N891" s="603"/>
      <c r="O891" s="603"/>
      <c r="P891" s="603"/>
      <c r="Q891" s="595"/>
      <c r="R891" s="595"/>
      <c r="S891" s="595"/>
      <c r="T891" s="595"/>
      <c r="U891" s="595"/>
      <c r="V891" s="595"/>
      <c r="W891" s="594"/>
      <c r="X891" s="594"/>
      <c r="Y891" s="595"/>
      <c r="Z891" s="595"/>
      <c r="AA891" s="595"/>
      <c r="AB891" s="595"/>
      <c r="AC891" s="595"/>
    </row>
    <row r="892" spans="1:29" ht="12.75" customHeight="1">
      <c r="A892" s="601"/>
      <c r="B892" s="602"/>
      <c r="C892" s="602"/>
      <c r="D892" s="602"/>
      <c r="E892" s="602"/>
      <c r="F892" s="602"/>
      <c r="G892" s="602"/>
      <c r="H892" s="602"/>
      <c r="I892" s="602"/>
      <c r="J892" s="602"/>
      <c r="K892" s="602"/>
      <c r="L892" s="603"/>
      <c r="M892" s="603"/>
      <c r="N892" s="603"/>
      <c r="O892" s="603"/>
      <c r="P892" s="603"/>
      <c r="Q892" s="595"/>
      <c r="R892" s="595"/>
      <c r="S892" s="595"/>
      <c r="T892" s="595"/>
      <c r="U892" s="595"/>
      <c r="V892" s="595"/>
      <c r="W892" s="594"/>
      <c r="X892" s="594"/>
      <c r="Y892" s="595"/>
      <c r="Z892" s="595"/>
      <c r="AA892" s="595"/>
      <c r="AB892" s="595"/>
      <c r="AC892" s="595"/>
    </row>
    <row r="893" spans="1:29" ht="12.75" customHeight="1">
      <c r="A893" s="601"/>
      <c r="B893" s="602"/>
      <c r="C893" s="602"/>
      <c r="D893" s="602"/>
      <c r="E893" s="602"/>
      <c r="F893" s="602"/>
      <c r="G893" s="602"/>
      <c r="H893" s="602"/>
      <c r="I893" s="602"/>
      <c r="J893" s="602"/>
      <c r="K893" s="602"/>
      <c r="L893" s="603"/>
      <c r="M893" s="603"/>
      <c r="N893" s="603"/>
      <c r="O893" s="603"/>
      <c r="P893" s="603"/>
      <c r="Q893" s="595"/>
      <c r="R893" s="595"/>
      <c r="S893" s="595"/>
      <c r="T893" s="595"/>
      <c r="U893" s="595"/>
      <c r="V893" s="595"/>
      <c r="W893" s="594"/>
      <c r="X893" s="594"/>
      <c r="Y893" s="595"/>
      <c r="Z893" s="595"/>
      <c r="AA893" s="595"/>
      <c r="AB893" s="595"/>
      <c r="AC893" s="595"/>
    </row>
    <row r="894" spans="1:29" ht="12.75" customHeight="1">
      <c r="A894" s="601"/>
      <c r="B894" s="602"/>
      <c r="C894" s="602"/>
      <c r="D894" s="602"/>
      <c r="E894" s="602"/>
      <c r="F894" s="602"/>
      <c r="G894" s="602"/>
      <c r="H894" s="602"/>
      <c r="I894" s="602"/>
      <c r="J894" s="602"/>
      <c r="K894" s="602"/>
      <c r="L894" s="603"/>
      <c r="M894" s="603"/>
      <c r="N894" s="603"/>
      <c r="O894" s="603"/>
      <c r="P894" s="603"/>
      <c r="Q894" s="595"/>
      <c r="R894" s="595"/>
      <c r="S894" s="595"/>
      <c r="T894" s="595"/>
      <c r="U894" s="595"/>
      <c r="V894" s="595"/>
      <c r="W894" s="594"/>
      <c r="X894" s="594"/>
      <c r="Y894" s="595"/>
      <c r="Z894" s="595"/>
      <c r="AA894" s="595"/>
      <c r="AB894" s="595"/>
      <c r="AC894" s="595"/>
    </row>
    <row r="895" spans="1:29" ht="12.75" customHeight="1">
      <c r="A895" s="601"/>
      <c r="B895" s="602"/>
      <c r="C895" s="602"/>
      <c r="D895" s="602"/>
      <c r="E895" s="602"/>
      <c r="F895" s="602"/>
      <c r="G895" s="602"/>
      <c r="H895" s="602"/>
      <c r="I895" s="602"/>
      <c r="J895" s="602"/>
      <c r="K895" s="602"/>
      <c r="L895" s="603"/>
      <c r="M895" s="603"/>
      <c r="N895" s="603"/>
      <c r="O895" s="603"/>
      <c r="P895" s="603"/>
      <c r="Q895" s="595"/>
      <c r="R895" s="595"/>
      <c r="S895" s="595"/>
      <c r="T895" s="595"/>
      <c r="U895" s="595"/>
      <c r="V895" s="595"/>
      <c r="W895" s="594"/>
      <c r="X895" s="594"/>
      <c r="Y895" s="595"/>
      <c r="Z895" s="595"/>
      <c r="AA895" s="595"/>
      <c r="AB895" s="595"/>
      <c r="AC895" s="595"/>
    </row>
    <row r="896" spans="1:29" ht="12.75" customHeight="1">
      <c r="A896" s="601"/>
      <c r="B896" s="602"/>
      <c r="C896" s="602"/>
      <c r="D896" s="602"/>
      <c r="E896" s="602"/>
      <c r="F896" s="602"/>
      <c r="G896" s="602"/>
      <c r="H896" s="602"/>
      <c r="I896" s="602"/>
      <c r="J896" s="602"/>
      <c r="K896" s="602"/>
      <c r="L896" s="603"/>
      <c r="M896" s="603"/>
      <c r="N896" s="603"/>
      <c r="O896" s="603"/>
      <c r="P896" s="603"/>
      <c r="Q896" s="595"/>
      <c r="R896" s="595"/>
      <c r="S896" s="595"/>
      <c r="T896" s="595"/>
      <c r="U896" s="595"/>
      <c r="V896" s="595"/>
      <c r="W896" s="594"/>
      <c r="X896" s="594"/>
      <c r="Y896" s="595"/>
      <c r="Z896" s="595"/>
      <c r="AA896" s="595"/>
      <c r="AB896" s="595"/>
      <c r="AC896" s="595"/>
    </row>
    <row r="897" spans="1:29" ht="12.75" customHeight="1">
      <c r="A897" s="601"/>
      <c r="B897" s="602"/>
      <c r="C897" s="602"/>
      <c r="D897" s="602"/>
      <c r="E897" s="602"/>
      <c r="F897" s="602"/>
      <c r="G897" s="602"/>
      <c r="H897" s="602"/>
      <c r="I897" s="602"/>
      <c r="J897" s="602"/>
      <c r="K897" s="602"/>
      <c r="L897" s="603"/>
      <c r="M897" s="603"/>
      <c r="N897" s="603"/>
      <c r="O897" s="603"/>
      <c r="P897" s="603"/>
      <c r="Q897" s="595"/>
      <c r="R897" s="595"/>
      <c r="S897" s="595"/>
      <c r="T897" s="595"/>
      <c r="U897" s="595"/>
      <c r="V897" s="595"/>
      <c r="W897" s="594"/>
      <c r="X897" s="594"/>
      <c r="Y897" s="595"/>
      <c r="Z897" s="595"/>
      <c r="AA897" s="595"/>
      <c r="AB897" s="595"/>
      <c r="AC897" s="595"/>
    </row>
    <row r="898" spans="1:29" ht="12.75" customHeight="1">
      <c r="A898" s="601"/>
      <c r="B898" s="602"/>
      <c r="C898" s="602"/>
      <c r="D898" s="602"/>
      <c r="E898" s="602"/>
      <c r="F898" s="602"/>
      <c r="G898" s="602"/>
      <c r="H898" s="602"/>
      <c r="I898" s="602"/>
      <c r="J898" s="602"/>
      <c r="K898" s="602"/>
      <c r="L898" s="603"/>
      <c r="M898" s="603"/>
      <c r="N898" s="603"/>
      <c r="O898" s="603"/>
      <c r="P898" s="603"/>
      <c r="Q898" s="595"/>
      <c r="R898" s="595"/>
      <c r="S898" s="595"/>
      <c r="T898" s="595"/>
      <c r="U898" s="595"/>
      <c r="V898" s="595"/>
      <c r="W898" s="594"/>
      <c r="X898" s="594"/>
      <c r="Y898" s="595"/>
      <c r="Z898" s="595"/>
      <c r="AA898" s="595"/>
      <c r="AB898" s="595"/>
      <c r="AC898" s="595"/>
    </row>
    <row r="899" spans="1:29" ht="12.75" customHeight="1">
      <c r="A899" s="601"/>
      <c r="B899" s="602"/>
      <c r="C899" s="602"/>
      <c r="D899" s="602"/>
      <c r="E899" s="602"/>
      <c r="F899" s="602"/>
      <c r="G899" s="602"/>
      <c r="H899" s="602"/>
      <c r="I899" s="602"/>
      <c r="J899" s="602"/>
      <c r="K899" s="602"/>
      <c r="L899" s="603"/>
      <c r="M899" s="603"/>
      <c r="N899" s="603"/>
      <c r="O899" s="603"/>
      <c r="P899" s="603"/>
      <c r="Q899" s="595"/>
      <c r="R899" s="595"/>
      <c r="S899" s="595"/>
      <c r="T899" s="595"/>
      <c r="U899" s="595"/>
      <c r="V899" s="595"/>
      <c r="W899" s="594"/>
      <c r="X899" s="594"/>
      <c r="Y899" s="595"/>
      <c r="Z899" s="595"/>
      <c r="AA899" s="595"/>
      <c r="AB899" s="595"/>
      <c r="AC899" s="595"/>
    </row>
    <row r="900" spans="1:29" ht="12.75" customHeight="1">
      <c r="A900" s="601"/>
      <c r="B900" s="602"/>
      <c r="C900" s="602"/>
      <c r="D900" s="602"/>
      <c r="E900" s="602"/>
      <c r="F900" s="602"/>
      <c r="G900" s="602"/>
      <c r="H900" s="602"/>
      <c r="I900" s="602"/>
      <c r="J900" s="602"/>
      <c r="K900" s="602"/>
      <c r="L900" s="603"/>
      <c r="M900" s="603"/>
      <c r="N900" s="603"/>
      <c r="O900" s="603"/>
      <c r="P900" s="603"/>
      <c r="Q900" s="595"/>
      <c r="R900" s="595"/>
      <c r="S900" s="595"/>
      <c r="T900" s="595"/>
      <c r="U900" s="595"/>
      <c r="V900" s="595"/>
      <c r="W900" s="594"/>
      <c r="X900" s="594"/>
      <c r="Y900" s="595"/>
      <c r="Z900" s="595"/>
      <c r="AA900" s="595"/>
      <c r="AB900" s="595"/>
      <c r="AC900" s="595"/>
    </row>
    <row r="901" spans="1:29" ht="12.75" customHeight="1">
      <c r="A901" s="601"/>
      <c r="B901" s="602"/>
      <c r="C901" s="602"/>
      <c r="D901" s="602"/>
      <c r="E901" s="602"/>
      <c r="F901" s="602"/>
      <c r="G901" s="602"/>
      <c r="H901" s="602"/>
      <c r="I901" s="602"/>
      <c r="J901" s="602"/>
      <c r="K901" s="602"/>
      <c r="L901" s="603"/>
      <c r="M901" s="603"/>
      <c r="N901" s="603"/>
      <c r="O901" s="603"/>
      <c r="P901" s="603"/>
      <c r="Q901" s="595"/>
      <c r="R901" s="595"/>
      <c r="S901" s="595"/>
      <c r="T901" s="595"/>
      <c r="U901" s="595"/>
      <c r="V901" s="595"/>
      <c r="W901" s="594"/>
      <c r="X901" s="594"/>
      <c r="Y901" s="595"/>
      <c r="Z901" s="595"/>
      <c r="AA901" s="595"/>
      <c r="AB901" s="595"/>
      <c r="AC901" s="595"/>
    </row>
    <row r="902" spans="1:29" ht="12.75" customHeight="1">
      <c r="A902" s="601"/>
      <c r="B902" s="602"/>
      <c r="C902" s="602"/>
      <c r="D902" s="602"/>
      <c r="E902" s="602"/>
      <c r="F902" s="602"/>
      <c r="G902" s="602"/>
      <c r="H902" s="602"/>
      <c r="I902" s="602"/>
      <c r="J902" s="602"/>
      <c r="K902" s="602"/>
      <c r="L902" s="603"/>
      <c r="M902" s="603"/>
      <c r="N902" s="603"/>
      <c r="O902" s="603"/>
      <c r="P902" s="603"/>
      <c r="Q902" s="595"/>
      <c r="R902" s="595"/>
      <c r="S902" s="595"/>
      <c r="T902" s="595"/>
      <c r="U902" s="595"/>
      <c r="V902" s="595"/>
      <c r="W902" s="594"/>
      <c r="X902" s="594"/>
      <c r="Y902" s="595"/>
      <c r="Z902" s="595"/>
      <c r="AA902" s="595"/>
      <c r="AB902" s="595"/>
      <c r="AC902" s="595"/>
    </row>
    <row r="903" spans="1:29" ht="12.75" customHeight="1">
      <c r="A903" s="601"/>
      <c r="B903" s="602"/>
      <c r="C903" s="602"/>
      <c r="D903" s="602"/>
      <c r="E903" s="602"/>
      <c r="F903" s="602"/>
      <c r="G903" s="602"/>
      <c r="H903" s="602"/>
      <c r="I903" s="602"/>
      <c r="J903" s="602"/>
      <c r="K903" s="602"/>
      <c r="L903" s="603"/>
      <c r="M903" s="603"/>
      <c r="N903" s="603"/>
      <c r="O903" s="603"/>
      <c r="P903" s="603"/>
      <c r="Q903" s="595"/>
      <c r="R903" s="595"/>
      <c r="S903" s="595"/>
      <c r="T903" s="595"/>
      <c r="U903" s="595"/>
      <c r="V903" s="595"/>
      <c r="W903" s="594"/>
      <c r="X903" s="594"/>
      <c r="Y903" s="595"/>
      <c r="Z903" s="595"/>
      <c r="AA903" s="595"/>
      <c r="AB903" s="595"/>
      <c r="AC903" s="595"/>
    </row>
    <row r="904" spans="1:29" ht="12.75" customHeight="1">
      <c r="A904" s="601"/>
      <c r="B904" s="602"/>
      <c r="C904" s="602"/>
      <c r="D904" s="602"/>
      <c r="E904" s="602"/>
      <c r="F904" s="602"/>
      <c r="G904" s="602"/>
      <c r="H904" s="602"/>
      <c r="I904" s="602"/>
      <c r="J904" s="602"/>
      <c r="K904" s="602"/>
      <c r="L904" s="603"/>
      <c r="M904" s="603"/>
      <c r="N904" s="603"/>
      <c r="O904" s="603"/>
      <c r="P904" s="603"/>
      <c r="Q904" s="595"/>
      <c r="R904" s="595"/>
      <c r="S904" s="595"/>
      <c r="T904" s="595"/>
      <c r="U904" s="595"/>
      <c r="V904" s="595"/>
      <c r="W904" s="594"/>
      <c r="X904" s="594"/>
      <c r="Y904" s="595"/>
      <c r="Z904" s="595"/>
      <c r="AA904" s="595"/>
      <c r="AB904" s="595"/>
      <c r="AC904" s="595"/>
    </row>
    <row r="905" spans="1:29" ht="12.75" customHeight="1">
      <c r="A905" s="601"/>
      <c r="B905" s="602"/>
      <c r="C905" s="602"/>
      <c r="D905" s="602"/>
      <c r="E905" s="602"/>
      <c r="F905" s="602"/>
      <c r="G905" s="602"/>
      <c r="H905" s="602"/>
      <c r="I905" s="602"/>
      <c r="J905" s="602"/>
      <c r="K905" s="602"/>
      <c r="L905" s="603"/>
      <c r="M905" s="603"/>
      <c r="N905" s="603"/>
      <c r="O905" s="603"/>
      <c r="P905" s="603"/>
      <c r="Q905" s="595"/>
      <c r="R905" s="595"/>
      <c r="S905" s="595"/>
      <c r="T905" s="595"/>
      <c r="U905" s="595"/>
      <c r="V905" s="595"/>
      <c r="W905" s="594"/>
      <c r="X905" s="594"/>
      <c r="Y905" s="595"/>
      <c r="Z905" s="595"/>
      <c r="AA905" s="595"/>
      <c r="AB905" s="595"/>
      <c r="AC905" s="595"/>
    </row>
    <row r="906" spans="1:29" ht="12.75" customHeight="1">
      <c r="A906" s="601"/>
      <c r="B906" s="602"/>
      <c r="C906" s="602"/>
      <c r="D906" s="602"/>
      <c r="E906" s="602"/>
      <c r="F906" s="602"/>
      <c r="G906" s="602"/>
      <c r="H906" s="602"/>
      <c r="I906" s="602"/>
      <c r="J906" s="602"/>
      <c r="K906" s="602"/>
      <c r="L906" s="603"/>
      <c r="M906" s="603"/>
      <c r="N906" s="603"/>
      <c r="O906" s="603"/>
      <c r="P906" s="603"/>
      <c r="Q906" s="595"/>
      <c r="R906" s="595"/>
      <c r="S906" s="595"/>
      <c r="T906" s="595"/>
      <c r="U906" s="595"/>
      <c r="V906" s="595"/>
      <c r="W906" s="594"/>
      <c r="X906" s="594"/>
      <c r="Y906" s="595"/>
      <c r="Z906" s="595"/>
      <c r="AA906" s="595"/>
      <c r="AB906" s="595"/>
      <c r="AC906" s="595"/>
    </row>
    <row r="907" spans="1:29" ht="12.75" customHeight="1">
      <c r="A907" s="601"/>
      <c r="B907" s="602"/>
      <c r="C907" s="602"/>
      <c r="D907" s="602"/>
      <c r="E907" s="602"/>
      <c r="F907" s="602"/>
      <c r="G907" s="602"/>
      <c r="H907" s="602"/>
      <c r="I907" s="602"/>
      <c r="J907" s="602"/>
      <c r="K907" s="602"/>
      <c r="L907" s="603"/>
      <c r="M907" s="603"/>
      <c r="N907" s="603"/>
      <c r="O907" s="603"/>
      <c r="P907" s="603"/>
      <c r="Q907" s="595"/>
      <c r="R907" s="595"/>
      <c r="S907" s="595"/>
      <c r="T907" s="595"/>
      <c r="U907" s="595"/>
      <c r="V907" s="595"/>
      <c r="W907" s="594"/>
      <c r="X907" s="594"/>
      <c r="Y907" s="595"/>
      <c r="Z907" s="595"/>
      <c r="AA907" s="595"/>
      <c r="AB907" s="595"/>
      <c r="AC907" s="595"/>
    </row>
    <row r="908" spans="1:29" ht="12.75" customHeight="1">
      <c r="A908" s="601"/>
      <c r="B908" s="602"/>
      <c r="C908" s="602"/>
      <c r="D908" s="602"/>
      <c r="E908" s="602"/>
      <c r="F908" s="602"/>
      <c r="G908" s="602"/>
      <c r="H908" s="602"/>
      <c r="I908" s="602"/>
      <c r="J908" s="602"/>
      <c r="K908" s="602"/>
      <c r="L908" s="603"/>
      <c r="M908" s="603"/>
      <c r="N908" s="603"/>
      <c r="O908" s="603"/>
      <c r="P908" s="603"/>
      <c r="Q908" s="595"/>
      <c r="R908" s="595"/>
      <c r="S908" s="595"/>
      <c r="T908" s="595"/>
      <c r="U908" s="595"/>
      <c r="V908" s="595"/>
      <c r="W908" s="594"/>
      <c r="X908" s="594"/>
      <c r="Y908" s="595"/>
      <c r="Z908" s="595"/>
      <c r="AA908" s="595"/>
      <c r="AB908" s="595"/>
      <c r="AC908" s="595"/>
    </row>
    <row r="909" spans="1:29" ht="12.75" customHeight="1">
      <c r="A909" s="601"/>
      <c r="B909" s="602"/>
      <c r="C909" s="602"/>
      <c r="D909" s="602"/>
      <c r="E909" s="602"/>
      <c r="F909" s="602"/>
      <c r="G909" s="602"/>
      <c r="H909" s="602"/>
      <c r="I909" s="602"/>
      <c r="J909" s="602"/>
      <c r="K909" s="602"/>
      <c r="L909" s="603"/>
      <c r="M909" s="603"/>
      <c r="N909" s="603"/>
      <c r="O909" s="603"/>
      <c r="P909" s="603"/>
      <c r="Q909" s="595"/>
      <c r="R909" s="595"/>
      <c r="S909" s="595"/>
      <c r="T909" s="595"/>
      <c r="U909" s="595"/>
      <c r="V909" s="595"/>
      <c r="W909" s="594"/>
      <c r="X909" s="594"/>
      <c r="Y909" s="595"/>
      <c r="Z909" s="595"/>
      <c r="AA909" s="595"/>
      <c r="AB909" s="595"/>
      <c r="AC909" s="595"/>
    </row>
    <row r="910" spans="1:29" ht="12.75" customHeight="1">
      <c r="A910" s="601"/>
      <c r="B910" s="602"/>
      <c r="C910" s="602"/>
      <c r="D910" s="602"/>
      <c r="E910" s="602"/>
      <c r="F910" s="602"/>
      <c r="G910" s="602"/>
      <c r="H910" s="602"/>
      <c r="I910" s="602"/>
      <c r="J910" s="602"/>
      <c r="K910" s="602"/>
      <c r="L910" s="603"/>
      <c r="M910" s="603"/>
      <c r="N910" s="603"/>
      <c r="O910" s="603"/>
      <c r="P910" s="603"/>
      <c r="Q910" s="595"/>
      <c r="R910" s="595"/>
      <c r="S910" s="595"/>
      <c r="T910" s="595"/>
      <c r="U910" s="595"/>
      <c r="V910" s="595"/>
      <c r="W910" s="594"/>
      <c r="X910" s="594"/>
      <c r="Y910" s="595"/>
      <c r="Z910" s="595"/>
      <c r="AA910" s="595"/>
      <c r="AB910" s="595"/>
      <c r="AC910" s="595"/>
    </row>
    <row r="911" spans="1:29" ht="12.75" customHeight="1">
      <c r="A911" s="601"/>
      <c r="B911" s="602"/>
      <c r="C911" s="602"/>
      <c r="D911" s="602"/>
      <c r="E911" s="602"/>
      <c r="F911" s="602"/>
      <c r="G911" s="602"/>
      <c r="H911" s="602"/>
      <c r="I911" s="602"/>
      <c r="J911" s="602"/>
      <c r="K911" s="602"/>
      <c r="L911" s="603"/>
      <c r="M911" s="603"/>
      <c r="N911" s="603"/>
      <c r="O911" s="603"/>
      <c r="P911" s="603"/>
      <c r="Q911" s="595"/>
      <c r="R911" s="595"/>
      <c r="S911" s="595"/>
      <c r="T911" s="595"/>
      <c r="U911" s="595"/>
      <c r="V911" s="595"/>
      <c r="W911" s="594"/>
      <c r="X911" s="594"/>
      <c r="Y911" s="595"/>
      <c r="Z911" s="595"/>
      <c r="AA911" s="595"/>
      <c r="AB911" s="595"/>
      <c r="AC911" s="595"/>
    </row>
    <row r="912" spans="1:29" ht="12.75" customHeight="1">
      <c r="A912" s="601"/>
      <c r="B912" s="602"/>
      <c r="C912" s="602"/>
      <c r="D912" s="602"/>
      <c r="E912" s="602"/>
      <c r="F912" s="602"/>
      <c r="G912" s="602"/>
      <c r="H912" s="602"/>
      <c r="I912" s="602"/>
      <c r="J912" s="602"/>
      <c r="K912" s="602"/>
      <c r="L912" s="603"/>
      <c r="M912" s="603"/>
      <c r="N912" s="603"/>
      <c r="O912" s="603"/>
      <c r="P912" s="603"/>
      <c r="Q912" s="595"/>
      <c r="R912" s="595"/>
      <c r="S912" s="595"/>
      <c r="T912" s="595"/>
      <c r="U912" s="595"/>
      <c r="V912" s="595"/>
      <c r="W912" s="594"/>
      <c r="X912" s="594"/>
      <c r="Y912" s="595"/>
      <c r="Z912" s="595"/>
      <c r="AA912" s="595"/>
      <c r="AB912" s="595"/>
      <c r="AC912" s="595"/>
    </row>
    <row r="913" spans="1:29" ht="12.75" customHeight="1">
      <c r="A913" s="601"/>
      <c r="B913" s="602"/>
      <c r="C913" s="602"/>
      <c r="D913" s="602"/>
      <c r="E913" s="602"/>
      <c r="F913" s="602"/>
      <c r="G913" s="602"/>
      <c r="H913" s="602"/>
      <c r="I913" s="602"/>
      <c r="J913" s="602"/>
      <c r="K913" s="602"/>
      <c r="L913" s="603"/>
      <c r="M913" s="603"/>
      <c r="N913" s="603"/>
      <c r="O913" s="603"/>
      <c r="P913" s="603"/>
      <c r="Q913" s="595"/>
      <c r="R913" s="595"/>
      <c r="S913" s="595"/>
      <c r="T913" s="595"/>
      <c r="U913" s="595"/>
      <c r="V913" s="595"/>
      <c r="W913" s="594"/>
      <c r="X913" s="594"/>
      <c r="Y913" s="595"/>
      <c r="Z913" s="595"/>
      <c r="AA913" s="595"/>
      <c r="AB913" s="595"/>
      <c r="AC913" s="595"/>
    </row>
    <row r="914" spans="1:29" ht="12.75" customHeight="1">
      <c r="A914" s="601"/>
      <c r="B914" s="602"/>
      <c r="C914" s="602"/>
      <c r="D914" s="602"/>
      <c r="E914" s="602"/>
      <c r="F914" s="602"/>
      <c r="G914" s="602"/>
      <c r="H914" s="602"/>
      <c r="I914" s="602"/>
      <c r="J914" s="602"/>
      <c r="K914" s="602"/>
      <c r="L914" s="603"/>
      <c r="M914" s="603"/>
      <c r="N914" s="603"/>
      <c r="O914" s="603"/>
      <c r="P914" s="603"/>
      <c r="Q914" s="595"/>
      <c r="R914" s="595"/>
      <c r="S914" s="595"/>
      <c r="T914" s="595"/>
      <c r="U914" s="595"/>
      <c r="V914" s="595"/>
      <c r="W914" s="594"/>
      <c r="X914" s="594"/>
      <c r="Y914" s="595"/>
      <c r="Z914" s="595"/>
      <c r="AA914" s="595"/>
      <c r="AB914" s="595"/>
      <c r="AC914" s="595"/>
    </row>
    <row r="915" spans="1:29" ht="12.75" customHeight="1">
      <c r="A915" s="601"/>
      <c r="B915" s="602"/>
      <c r="C915" s="602"/>
      <c r="D915" s="602"/>
      <c r="E915" s="602"/>
      <c r="F915" s="602"/>
      <c r="G915" s="602"/>
      <c r="H915" s="602"/>
      <c r="I915" s="602"/>
      <c r="J915" s="602"/>
      <c r="K915" s="602"/>
      <c r="L915" s="603"/>
      <c r="M915" s="603"/>
      <c r="N915" s="603"/>
      <c r="O915" s="603"/>
      <c r="P915" s="603"/>
      <c r="Q915" s="595"/>
      <c r="R915" s="595"/>
      <c r="S915" s="595"/>
      <c r="T915" s="595"/>
      <c r="U915" s="595"/>
      <c r="V915" s="595"/>
      <c r="W915" s="594"/>
      <c r="X915" s="594"/>
      <c r="Y915" s="595"/>
      <c r="Z915" s="595"/>
      <c r="AA915" s="595"/>
      <c r="AB915" s="595"/>
      <c r="AC915" s="595"/>
    </row>
    <row r="916" spans="1:29" ht="12.75" customHeight="1">
      <c r="A916" s="601"/>
      <c r="B916" s="602"/>
      <c r="C916" s="602"/>
      <c r="D916" s="602"/>
      <c r="E916" s="602"/>
      <c r="F916" s="602"/>
      <c r="G916" s="602"/>
      <c r="H916" s="602"/>
      <c r="I916" s="602"/>
      <c r="J916" s="602"/>
      <c r="K916" s="602"/>
      <c r="L916" s="603"/>
      <c r="M916" s="603"/>
      <c r="N916" s="603"/>
      <c r="O916" s="603"/>
      <c r="P916" s="603"/>
      <c r="Q916" s="595"/>
      <c r="R916" s="595"/>
      <c r="S916" s="595"/>
      <c r="T916" s="595"/>
      <c r="U916" s="595"/>
      <c r="V916" s="595"/>
      <c r="W916" s="594"/>
      <c r="X916" s="594"/>
      <c r="Y916" s="595"/>
      <c r="Z916" s="595"/>
      <c r="AA916" s="595"/>
      <c r="AB916" s="595"/>
      <c r="AC916" s="595"/>
    </row>
    <row r="917" spans="1:29" ht="12.75" customHeight="1">
      <c r="A917" s="601"/>
      <c r="B917" s="602"/>
      <c r="C917" s="602"/>
      <c r="D917" s="602"/>
      <c r="E917" s="602"/>
      <c r="F917" s="602"/>
      <c r="G917" s="602"/>
      <c r="H917" s="602"/>
      <c r="I917" s="602"/>
      <c r="J917" s="602"/>
      <c r="K917" s="602"/>
      <c r="L917" s="603"/>
      <c r="M917" s="603"/>
      <c r="N917" s="603"/>
      <c r="O917" s="603"/>
      <c r="P917" s="603"/>
      <c r="Q917" s="595"/>
      <c r="R917" s="595"/>
      <c r="S917" s="595"/>
      <c r="T917" s="595"/>
      <c r="U917" s="595"/>
      <c r="V917" s="595"/>
      <c r="W917" s="594"/>
      <c r="X917" s="594"/>
      <c r="Y917" s="595"/>
      <c r="Z917" s="595"/>
      <c r="AA917" s="595"/>
      <c r="AB917" s="595"/>
      <c r="AC917" s="595"/>
    </row>
    <row r="918" spans="1:29" ht="12.75" customHeight="1">
      <c r="A918" s="601"/>
      <c r="B918" s="602"/>
      <c r="C918" s="602"/>
      <c r="D918" s="602"/>
      <c r="E918" s="602"/>
      <c r="F918" s="602"/>
      <c r="G918" s="602"/>
      <c r="H918" s="602"/>
      <c r="I918" s="602"/>
      <c r="J918" s="602"/>
      <c r="K918" s="602"/>
      <c r="L918" s="603"/>
      <c r="M918" s="603"/>
      <c r="N918" s="603"/>
      <c r="O918" s="603"/>
      <c r="P918" s="603"/>
      <c r="Q918" s="595"/>
      <c r="R918" s="595"/>
      <c r="S918" s="595"/>
      <c r="T918" s="595"/>
      <c r="U918" s="595"/>
      <c r="V918" s="595"/>
      <c r="W918" s="594"/>
      <c r="X918" s="594"/>
      <c r="Y918" s="595"/>
      <c r="Z918" s="595"/>
      <c r="AA918" s="595"/>
      <c r="AB918" s="595"/>
      <c r="AC918" s="595"/>
    </row>
    <row r="919" spans="1:29" ht="12.75" customHeight="1">
      <c r="A919" s="601"/>
      <c r="B919" s="602"/>
      <c r="C919" s="602"/>
      <c r="D919" s="602"/>
      <c r="E919" s="602"/>
      <c r="F919" s="602"/>
      <c r="G919" s="602"/>
      <c r="H919" s="602"/>
      <c r="I919" s="602"/>
      <c r="J919" s="602"/>
      <c r="K919" s="602"/>
      <c r="L919" s="603"/>
      <c r="M919" s="603"/>
      <c r="N919" s="603"/>
      <c r="O919" s="603"/>
      <c r="P919" s="603"/>
      <c r="Q919" s="595"/>
      <c r="R919" s="595"/>
      <c r="S919" s="595"/>
      <c r="T919" s="595"/>
      <c r="U919" s="595"/>
      <c r="V919" s="595"/>
      <c r="W919" s="594"/>
      <c r="X919" s="594"/>
      <c r="Y919" s="595"/>
      <c r="Z919" s="595"/>
      <c r="AA919" s="595"/>
      <c r="AB919" s="595"/>
      <c r="AC919" s="595"/>
    </row>
    <row r="920" spans="1:29" ht="12.75" customHeight="1">
      <c r="A920" s="601"/>
      <c r="B920" s="602"/>
      <c r="C920" s="602"/>
      <c r="D920" s="602"/>
      <c r="E920" s="602"/>
      <c r="F920" s="602"/>
      <c r="G920" s="602"/>
      <c r="H920" s="602"/>
      <c r="I920" s="602"/>
      <c r="J920" s="602"/>
      <c r="K920" s="602"/>
      <c r="L920" s="603"/>
      <c r="M920" s="603"/>
      <c r="N920" s="603"/>
      <c r="O920" s="603"/>
      <c r="P920" s="603"/>
      <c r="Q920" s="595"/>
      <c r="R920" s="595"/>
      <c r="S920" s="595"/>
      <c r="T920" s="595"/>
      <c r="U920" s="595"/>
      <c r="V920" s="595"/>
      <c r="W920" s="594"/>
      <c r="X920" s="594"/>
      <c r="Y920" s="595"/>
      <c r="Z920" s="595"/>
      <c r="AA920" s="595"/>
      <c r="AB920" s="595"/>
      <c r="AC920" s="595"/>
    </row>
    <row r="921" spans="1:29" ht="12.75" customHeight="1">
      <c r="A921" s="601"/>
      <c r="B921" s="602"/>
      <c r="C921" s="602"/>
      <c r="D921" s="602"/>
      <c r="E921" s="602"/>
      <c r="F921" s="602"/>
      <c r="G921" s="602"/>
      <c r="H921" s="602"/>
      <c r="I921" s="602"/>
      <c r="J921" s="602"/>
      <c r="K921" s="602"/>
      <c r="L921" s="603"/>
      <c r="M921" s="603"/>
      <c r="N921" s="603"/>
      <c r="O921" s="603"/>
      <c r="P921" s="603"/>
      <c r="Q921" s="595"/>
      <c r="R921" s="595"/>
      <c r="S921" s="595"/>
      <c r="T921" s="595"/>
      <c r="U921" s="595"/>
      <c r="V921" s="595"/>
      <c r="W921" s="594"/>
      <c r="X921" s="594"/>
      <c r="Y921" s="595"/>
      <c r="Z921" s="595"/>
      <c r="AA921" s="595"/>
      <c r="AB921" s="595"/>
      <c r="AC921" s="595"/>
    </row>
    <row r="922" spans="1:29" ht="12.75" customHeight="1">
      <c r="A922" s="601"/>
      <c r="B922" s="602"/>
      <c r="C922" s="602"/>
      <c r="D922" s="602"/>
      <c r="E922" s="602"/>
      <c r="F922" s="602"/>
      <c r="G922" s="602"/>
      <c r="H922" s="602"/>
      <c r="I922" s="602"/>
      <c r="J922" s="602"/>
      <c r="K922" s="602"/>
      <c r="L922" s="603"/>
      <c r="M922" s="603"/>
      <c r="N922" s="603"/>
      <c r="O922" s="603"/>
      <c r="P922" s="603"/>
      <c r="Q922" s="595"/>
      <c r="R922" s="595"/>
      <c r="S922" s="595"/>
      <c r="T922" s="595"/>
      <c r="U922" s="595"/>
      <c r="V922" s="595"/>
      <c r="W922" s="594"/>
      <c r="X922" s="594"/>
      <c r="Y922" s="595"/>
      <c r="Z922" s="595"/>
      <c r="AA922" s="595"/>
      <c r="AB922" s="595"/>
      <c r="AC922" s="595"/>
    </row>
    <row r="923" spans="1:29" ht="12.75" customHeight="1">
      <c r="A923" s="601"/>
      <c r="B923" s="602"/>
      <c r="C923" s="602"/>
      <c r="D923" s="602"/>
      <c r="E923" s="602"/>
      <c r="F923" s="602"/>
      <c r="G923" s="602"/>
      <c r="H923" s="602"/>
      <c r="I923" s="602"/>
      <c r="J923" s="602"/>
      <c r="K923" s="602"/>
      <c r="L923" s="603"/>
      <c r="M923" s="603"/>
      <c r="N923" s="603"/>
      <c r="O923" s="603"/>
      <c r="P923" s="603"/>
      <c r="Q923" s="595"/>
      <c r="R923" s="595"/>
      <c r="S923" s="595"/>
      <c r="T923" s="595"/>
      <c r="U923" s="595"/>
      <c r="V923" s="595"/>
      <c r="W923" s="594"/>
      <c r="X923" s="594"/>
      <c r="Y923" s="595"/>
      <c r="Z923" s="595"/>
      <c r="AA923" s="595"/>
      <c r="AB923" s="595"/>
      <c r="AC923" s="595"/>
    </row>
    <row r="924" spans="1:29" ht="12.75" customHeight="1">
      <c r="A924" s="601"/>
      <c r="B924" s="602"/>
      <c r="C924" s="602"/>
      <c r="D924" s="602"/>
      <c r="E924" s="602"/>
      <c r="F924" s="602"/>
      <c r="G924" s="602"/>
      <c r="H924" s="602"/>
      <c r="I924" s="602"/>
      <c r="J924" s="602"/>
      <c r="K924" s="602"/>
      <c r="L924" s="603"/>
      <c r="M924" s="603"/>
      <c r="N924" s="603"/>
      <c r="O924" s="603"/>
      <c r="P924" s="603"/>
      <c r="Q924" s="595"/>
      <c r="R924" s="595"/>
      <c r="S924" s="595"/>
      <c r="T924" s="595"/>
      <c r="U924" s="595"/>
      <c r="V924" s="595"/>
      <c r="W924" s="594"/>
      <c r="X924" s="594"/>
      <c r="Y924" s="595"/>
      <c r="Z924" s="595"/>
      <c r="AA924" s="595"/>
      <c r="AB924" s="595"/>
      <c r="AC924" s="595"/>
    </row>
    <row r="925" spans="1:29" ht="12.75" customHeight="1">
      <c r="A925" s="601"/>
      <c r="B925" s="602"/>
      <c r="C925" s="602"/>
      <c r="D925" s="602"/>
      <c r="E925" s="602"/>
      <c r="F925" s="602"/>
      <c r="G925" s="602"/>
      <c r="H925" s="602"/>
      <c r="I925" s="602"/>
      <c r="J925" s="602"/>
      <c r="K925" s="602"/>
      <c r="L925" s="603"/>
      <c r="M925" s="603"/>
      <c r="N925" s="603"/>
      <c r="O925" s="603"/>
      <c r="P925" s="603"/>
      <c r="Q925" s="595"/>
      <c r="R925" s="595"/>
      <c r="S925" s="595"/>
      <c r="T925" s="595"/>
      <c r="U925" s="595"/>
      <c r="V925" s="595"/>
      <c r="W925" s="594"/>
      <c r="X925" s="594"/>
      <c r="Y925" s="595"/>
      <c r="Z925" s="595"/>
      <c r="AA925" s="595"/>
      <c r="AB925" s="595"/>
      <c r="AC925" s="595"/>
    </row>
    <row r="926" spans="1:29" ht="12.75" customHeight="1">
      <c r="A926" s="601"/>
      <c r="B926" s="602"/>
      <c r="C926" s="602"/>
      <c r="D926" s="602"/>
      <c r="E926" s="602"/>
      <c r="F926" s="602"/>
      <c r="G926" s="602"/>
      <c r="H926" s="602"/>
      <c r="I926" s="602"/>
      <c r="J926" s="602"/>
      <c r="K926" s="602"/>
      <c r="L926" s="603"/>
      <c r="M926" s="603"/>
      <c r="N926" s="603"/>
      <c r="O926" s="603"/>
      <c r="P926" s="603"/>
      <c r="Q926" s="595"/>
      <c r="R926" s="595"/>
      <c r="S926" s="595"/>
      <c r="T926" s="595"/>
      <c r="U926" s="595"/>
      <c r="V926" s="595"/>
      <c r="W926" s="594"/>
      <c r="X926" s="594"/>
      <c r="Y926" s="595"/>
      <c r="Z926" s="595"/>
      <c r="AA926" s="595"/>
      <c r="AB926" s="595"/>
      <c r="AC926" s="595"/>
    </row>
    <row r="927" spans="1:29" ht="12.75" customHeight="1">
      <c r="A927" s="601"/>
      <c r="B927" s="602"/>
      <c r="C927" s="602"/>
      <c r="D927" s="602"/>
      <c r="E927" s="602"/>
      <c r="F927" s="602"/>
      <c r="G927" s="602"/>
      <c r="H927" s="602"/>
      <c r="I927" s="602"/>
      <c r="J927" s="602"/>
      <c r="K927" s="602"/>
      <c r="L927" s="603"/>
      <c r="M927" s="603"/>
      <c r="N927" s="603"/>
      <c r="O927" s="603"/>
      <c r="P927" s="603"/>
      <c r="Q927" s="595"/>
      <c r="R927" s="595"/>
      <c r="S927" s="595"/>
      <c r="T927" s="595"/>
      <c r="U927" s="595"/>
      <c r="V927" s="595"/>
      <c r="W927" s="594"/>
      <c r="X927" s="594"/>
      <c r="Y927" s="595"/>
      <c r="Z927" s="595"/>
      <c r="AA927" s="595"/>
      <c r="AB927" s="595"/>
      <c r="AC927" s="595"/>
    </row>
    <row r="928" spans="1:29" ht="12.75" customHeight="1">
      <c r="A928" s="601"/>
      <c r="B928" s="602"/>
      <c r="C928" s="602"/>
      <c r="D928" s="602"/>
      <c r="E928" s="602"/>
      <c r="F928" s="602"/>
      <c r="G928" s="602"/>
      <c r="H928" s="602"/>
      <c r="I928" s="602"/>
      <c r="J928" s="602"/>
      <c r="K928" s="602"/>
      <c r="L928" s="603"/>
      <c r="M928" s="603"/>
      <c r="N928" s="603"/>
      <c r="O928" s="603"/>
      <c r="P928" s="603"/>
      <c r="Q928" s="595"/>
      <c r="R928" s="595"/>
      <c r="S928" s="595"/>
      <c r="T928" s="595"/>
      <c r="U928" s="595"/>
      <c r="V928" s="595"/>
      <c r="W928" s="594"/>
      <c r="X928" s="594"/>
      <c r="Y928" s="595"/>
      <c r="Z928" s="595"/>
      <c r="AA928" s="595"/>
      <c r="AB928" s="595"/>
      <c r="AC928" s="595"/>
    </row>
    <row r="929" spans="1:29" ht="12.75" customHeight="1">
      <c r="A929" s="601"/>
      <c r="B929" s="602"/>
      <c r="C929" s="602"/>
      <c r="D929" s="602"/>
      <c r="E929" s="602"/>
      <c r="F929" s="602"/>
      <c r="G929" s="602"/>
      <c r="H929" s="602"/>
      <c r="I929" s="602"/>
      <c r="J929" s="602"/>
      <c r="K929" s="602"/>
      <c r="L929" s="603"/>
      <c r="M929" s="603"/>
      <c r="N929" s="603"/>
      <c r="O929" s="603"/>
      <c r="P929" s="603"/>
      <c r="Q929" s="595"/>
      <c r="R929" s="595"/>
      <c r="S929" s="595"/>
      <c r="T929" s="595"/>
      <c r="U929" s="595"/>
      <c r="V929" s="595"/>
      <c r="W929" s="594"/>
      <c r="X929" s="594"/>
      <c r="Y929" s="595"/>
      <c r="Z929" s="595"/>
      <c r="AA929" s="595"/>
      <c r="AB929" s="595"/>
      <c r="AC929" s="595"/>
    </row>
    <row r="930" spans="1:29" ht="12.75" customHeight="1">
      <c r="A930" s="601"/>
      <c r="B930" s="602"/>
      <c r="C930" s="602"/>
      <c r="D930" s="602"/>
      <c r="E930" s="602"/>
      <c r="F930" s="602"/>
      <c r="G930" s="602"/>
      <c r="H930" s="602"/>
      <c r="I930" s="602"/>
      <c r="J930" s="602"/>
      <c r="K930" s="602"/>
      <c r="L930" s="603"/>
      <c r="M930" s="603"/>
      <c r="N930" s="603"/>
      <c r="O930" s="603"/>
      <c r="P930" s="603"/>
      <c r="Q930" s="595"/>
      <c r="R930" s="595"/>
      <c r="S930" s="595"/>
      <c r="T930" s="595"/>
      <c r="U930" s="595"/>
      <c r="V930" s="595"/>
      <c r="W930" s="594"/>
      <c r="X930" s="594"/>
      <c r="Y930" s="595"/>
      <c r="Z930" s="595"/>
      <c r="AA930" s="595"/>
      <c r="AB930" s="595"/>
      <c r="AC930" s="595"/>
    </row>
    <row r="931" spans="1:29" ht="12.75" customHeight="1">
      <c r="A931" s="601"/>
      <c r="B931" s="602"/>
      <c r="C931" s="602"/>
      <c r="D931" s="602"/>
      <c r="E931" s="602"/>
      <c r="F931" s="602"/>
      <c r="G931" s="602"/>
      <c r="H931" s="602"/>
      <c r="I931" s="602"/>
      <c r="J931" s="602"/>
      <c r="K931" s="602"/>
      <c r="L931" s="603"/>
      <c r="M931" s="603"/>
      <c r="N931" s="603"/>
      <c r="O931" s="603"/>
      <c r="P931" s="603"/>
      <c r="Q931" s="595"/>
      <c r="R931" s="595"/>
      <c r="S931" s="595"/>
      <c r="T931" s="595"/>
      <c r="U931" s="595"/>
      <c r="V931" s="595"/>
      <c r="W931" s="594"/>
      <c r="X931" s="594"/>
      <c r="Y931" s="595"/>
      <c r="Z931" s="595"/>
      <c r="AA931" s="595"/>
      <c r="AB931" s="595"/>
      <c r="AC931" s="595"/>
    </row>
    <row r="932" spans="1:29" ht="12.75" customHeight="1">
      <c r="A932" s="601"/>
      <c r="B932" s="602"/>
      <c r="C932" s="602"/>
      <c r="D932" s="602"/>
      <c r="E932" s="602"/>
      <c r="F932" s="602"/>
      <c r="G932" s="602"/>
      <c r="H932" s="602"/>
      <c r="I932" s="602"/>
      <c r="J932" s="602"/>
      <c r="K932" s="602"/>
      <c r="L932" s="603"/>
      <c r="M932" s="603"/>
      <c r="N932" s="603"/>
      <c r="O932" s="603"/>
      <c r="P932" s="603"/>
      <c r="Q932" s="595"/>
      <c r="R932" s="595"/>
      <c r="S932" s="595"/>
      <c r="T932" s="595"/>
      <c r="U932" s="595"/>
      <c r="V932" s="595"/>
      <c r="W932" s="594"/>
      <c r="X932" s="594"/>
      <c r="Y932" s="595"/>
      <c r="Z932" s="595"/>
      <c r="AA932" s="595"/>
      <c r="AB932" s="595"/>
      <c r="AC932" s="595"/>
    </row>
    <row r="933" spans="1:29" ht="12.75" customHeight="1">
      <c r="A933" s="601"/>
      <c r="B933" s="602"/>
      <c r="C933" s="602"/>
      <c r="D933" s="602"/>
      <c r="E933" s="602"/>
      <c r="F933" s="602"/>
      <c r="G933" s="602"/>
      <c r="H933" s="602"/>
      <c r="I933" s="602"/>
      <c r="J933" s="602"/>
      <c r="K933" s="602"/>
      <c r="L933" s="603"/>
      <c r="M933" s="603"/>
      <c r="N933" s="603"/>
      <c r="O933" s="603"/>
      <c r="P933" s="603"/>
      <c r="Q933" s="595"/>
      <c r="R933" s="595"/>
      <c r="S933" s="595"/>
      <c r="T933" s="595"/>
      <c r="U933" s="595"/>
      <c r="V933" s="595"/>
      <c r="W933" s="594"/>
      <c r="X933" s="594"/>
      <c r="Y933" s="595"/>
      <c r="Z933" s="595"/>
      <c r="AA933" s="595"/>
      <c r="AB933" s="595"/>
      <c r="AC933" s="595"/>
    </row>
    <row r="934" spans="1:29" ht="12.75" customHeight="1">
      <c r="A934" s="601"/>
      <c r="B934" s="602"/>
      <c r="C934" s="602"/>
      <c r="D934" s="602"/>
      <c r="E934" s="602"/>
      <c r="F934" s="602"/>
      <c r="G934" s="602"/>
      <c r="H934" s="602"/>
      <c r="I934" s="602"/>
      <c r="J934" s="602"/>
      <c r="K934" s="602"/>
      <c r="L934" s="603"/>
      <c r="M934" s="603"/>
      <c r="N934" s="603"/>
      <c r="O934" s="603"/>
      <c r="P934" s="603"/>
      <c r="Q934" s="595"/>
      <c r="R934" s="595"/>
      <c r="S934" s="595"/>
      <c r="T934" s="595"/>
      <c r="U934" s="595"/>
      <c r="V934" s="595"/>
      <c r="W934" s="594"/>
      <c r="X934" s="594"/>
      <c r="Y934" s="595"/>
      <c r="Z934" s="595"/>
      <c r="AA934" s="595"/>
      <c r="AB934" s="595"/>
      <c r="AC934" s="595"/>
    </row>
    <row r="935" spans="1:29" ht="12.75" customHeight="1">
      <c r="A935" s="601"/>
      <c r="B935" s="602"/>
      <c r="C935" s="602"/>
      <c r="D935" s="602"/>
      <c r="E935" s="602"/>
      <c r="F935" s="602"/>
      <c r="G935" s="602"/>
      <c r="H935" s="602"/>
      <c r="I935" s="602"/>
      <c r="J935" s="602"/>
      <c r="K935" s="602"/>
      <c r="L935" s="603"/>
      <c r="M935" s="603"/>
      <c r="N935" s="603"/>
      <c r="O935" s="603"/>
      <c r="P935" s="603"/>
      <c r="Q935" s="595"/>
      <c r="R935" s="595"/>
      <c r="S935" s="595"/>
      <c r="T935" s="595"/>
      <c r="U935" s="595"/>
      <c r="V935" s="595"/>
      <c r="W935" s="594"/>
      <c r="X935" s="594"/>
      <c r="Y935" s="595"/>
      <c r="Z935" s="595"/>
      <c r="AA935" s="595"/>
      <c r="AB935" s="595"/>
      <c r="AC935" s="595"/>
    </row>
    <row r="936" spans="1:29" ht="12.75" customHeight="1">
      <c r="A936" s="601"/>
      <c r="B936" s="602"/>
      <c r="C936" s="602"/>
      <c r="D936" s="602"/>
      <c r="E936" s="602"/>
      <c r="F936" s="602"/>
      <c r="G936" s="602"/>
      <c r="H936" s="602"/>
      <c r="I936" s="602"/>
      <c r="J936" s="602"/>
      <c r="K936" s="602"/>
      <c r="L936" s="603"/>
      <c r="M936" s="603"/>
      <c r="N936" s="603"/>
      <c r="O936" s="603"/>
      <c r="P936" s="603"/>
      <c r="Q936" s="595"/>
      <c r="R936" s="595"/>
      <c r="S936" s="595"/>
      <c r="T936" s="595"/>
      <c r="U936" s="595"/>
      <c r="V936" s="595"/>
      <c r="W936" s="594"/>
      <c r="X936" s="594"/>
      <c r="Y936" s="595"/>
      <c r="Z936" s="595"/>
      <c r="AA936" s="595"/>
      <c r="AB936" s="595"/>
      <c r="AC936" s="595"/>
    </row>
    <row r="937" spans="1:29" ht="12.75" customHeight="1">
      <c r="A937" s="601"/>
      <c r="B937" s="602"/>
      <c r="C937" s="602"/>
      <c r="D937" s="602"/>
      <c r="E937" s="602"/>
      <c r="F937" s="602"/>
      <c r="G937" s="602"/>
      <c r="H937" s="602"/>
      <c r="I937" s="602"/>
      <c r="J937" s="602"/>
      <c r="K937" s="602"/>
      <c r="L937" s="603"/>
      <c r="M937" s="603"/>
      <c r="N937" s="603"/>
      <c r="O937" s="603"/>
      <c r="P937" s="603"/>
      <c r="Q937" s="595"/>
      <c r="R937" s="595"/>
      <c r="S937" s="595"/>
      <c r="T937" s="595"/>
      <c r="U937" s="595"/>
      <c r="V937" s="595"/>
      <c r="W937" s="594"/>
      <c r="X937" s="594"/>
      <c r="Y937" s="595"/>
      <c r="Z937" s="595"/>
      <c r="AA937" s="595"/>
      <c r="AB937" s="595"/>
      <c r="AC937" s="595"/>
    </row>
    <row r="938" spans="1:29" ht="12.75" customHeight="1">
      <c r="A938" s="601"/>
      <c r="B938" s="602"/>
      <c r="C938" s="602"/>
      <c r="D938" s="602"/>
      <c r="E938" s="602"/>
      <c r="F938" s="602"/>
      <c r="G938" s="602"/>
      <c r="H938" s="602"/>
      <c r="I938" s="602"/>
      <c r="J938" s="602"/>
      <c r="K938" s="602"/>
      <c r="L938" s="603"/>
      <c r="M938" s="603"/>
      <c r="N938" s="603"/>
      <c r="O938" s="603"/>
      <c r="P938" s="603"/>
      <c r="Q938" s="595"/>
      <c r="R938" s="595"/>
      <c r="S938" s="595"/>
      <c r="T938" s="595"/>
      <c r="U938" s="595"/>
      <c r="V938" s="595"/>
      <c r="W938" s="594"/>
      <c r="X938" s="594"/>
      <c r="Y938" s="595"/>
      <c r="Z938" s="595"/>
      <c r="AA938" s="595"/>
      <c r="AB938" s="595"/>
      <c r="AC938" s="595"/>
    </row>
    <row r="939" spans="1:29" ht="12.75" customHeight="1">
      <c r="A939" s="601"/>
      <c r="B939" s="602"/>
      <c r="C939" s="602"/>
      <c r="D939" s="602"/>
      <c r="E939" s="602"/>
      <c r="F939" s="602"/>
      <c r="G939" s="602"/>
      <c r="H939" s="602"/>
      <c r="I939" s="602"/>
      <c r="J939" s="602"/>
      <c r="K939" s="602"/>
      <c r="L939" s="603"/>
      <c r="M939" s="603"/>
      <c r="N939" s="603"/>
      <c r="O939" s="603"/>
      <c r="P939" s="603"/>
      <c r="Q939" s="595"/>
      <c r="R939" s="595"/>
      <c r="S939" s="595"/>
      <c r="T939" s="595"/>
      <c r="U939" s="595"/>
      <c r="V939" s="595"/>
      <c r="W939" s="594"/>
      <c r="X939" s="594"/>
      <c r="Y939" s="595"/>
      <c r="Z939" s="595"/>
      <c r="AA939" s="595"/>
      <c r="AB939" s="595"/>
      <c r="AC939" s="595"/>
    </row>
    <row r="940" spans="1:29" ht="12.75" customHeight="1">
      <c r="A940" s="601"/>
      <c r="B940" s="602"/>
      <c r="C940" s="602"/>
      <c r="D940" s="602"/>
      <c r="E940" s="602"/>
      <c r="F940" s="602"/>
      <c r="G940" s="602"/>
      <c r="H940" s="602"/>
      <c r="I940" s="602"/>
      <c r="J940" s="602"/>
      <c r="K940" s="602"/>
      <c r="L940" s="603"/>
      <c r="M940" s="603"/>
      <c r="N940" s="603"/>
      <c r="O940" s="603"/>
      <c r="P940" s="603"/>
      <c r="Q940" s="595"/>
      <c r="R940" s="595"/>
      <c r="S940" s="595"/>
      <c r="T940" s="595"/>
      <c r="U940" s="595"/>
      <c r="V940" s="595"/>
      <c r="W940" s="594"/>
      <c r="X940" s="594"/>
      <c r="Y940" s="595"/>
      <c r="Z940" s="595"/>
      <c r="AA940" s="595"/>
      <c r="AB940" s="595"/>
      <c r="AC940" s="595"/>
    </row>
    <row r="941" spans="1:29" ht="12.75" customHeight="1">
      <c r="A941" s="601"/>
      <c r="B941" s="602"/>
      <c r="C941" s="602"/>
      <c r="D941" s="602"/>
      <c r="E941" s="602"/>
      <c r="F941" s="602"/>
      <c r="G941" s="602"/>
      <c r="H941" s="602"/>
      <c r="I941" s="602"/>
      <c r="J941" s="602"/>
      <c r="K941" s="602"/>
      <c r="L941" s="603"/>
      <c r="M941" s="603"/>
      <c r="N941" s="603"/>
      <c r="O941" s="603"/>
      <c r="P941" s="603"/>
      <c r="Q941" s="595"/>
      <c r="R941" s="595"/>
      <c r="S941" s="595"/>
      <c r="T941" s="595"/>
      <c r="U941" s="595"/>
      <c r="V941" s="595"/>
      <c r="W941" s="594"/>
      <c r="X941" s="594"/>
      <c r="Y941" s="595"/>
      <c r="Z941" s="595"/>
      <c r="AA941" s="595"/>
      <c r="AB941" s="595"/>
      <c r="AC941" s="595"/>
    </row>
    <row r="942" spans="1:29" ht="12.75" customHeight="1">
      <c r="A942" s="601"/>
      <c r="B942" s="602"/>
      <c r="C942" s="602"/>
      <c r="D942" s="602"/>
      <c r="E942" s="602"/>
      <c r="F942" s="602"/>
      <c r="G942" s="602"/>
      <c r="H942" s="602"/>
      <c r="I942" s="602"/>
      <c r="J942" s="602"/>
      <c r="K942" s="602"/>
      <c r="L942" s="603"/>
      <c r="M942" s="603"/>
      <c r="N942" s="603"/>
      <c r="O942" s="603"/>
      <c r="P942" s="603"/>
      <c r="Q942" s="595"/>
      <c r="R942" s="595"/>
      <c r="S942" s="595"/>
      <c r="T942" s="595"/>
      <c r="U942" s="595"/>
      <c r="V942" s="595"/>
      <c r="W942" s="594"/>
      <c r="X942" s="594"/>
      <c r="Y942" s="595"/>
      <c r="Z942" s="595"/>
      <c r="AA942" s="595"/>
      <c r="AB942" s="595"/>
      <c r="AC942" s="595"/>
    </row>
    <row r="943" spans="1:29" ht="12.75" customHeight="1">
      <c r="A943" s="601"/>
      <c r="B943" s="602"/>
      <c r="C943" s="602"/>
      <c r="D943" s="602"/>
      <c r="E943" s="602"/>
      <c r="F943" s="602"/>
      <c r="G943" s="602"/>
      <c r="H943" s="602"/>
      <c r="I943" s="602"/>
      <c r="J943" s="602"/>
      <c r="K943" s="602"/>
      <c r="L943" s="603"/>
      <c r="M943" s="603"/>
      <c r="N943" s="603"/>
      <c r="O943" s="603"/>
      <c r="P943" s="603"/>
      <c r="Q943" s="595"/>
      <c r="R943" s="595"/>
      <c r="S943" s="595"/>
      <c r="T943" s="595"/>
      <c r="U943" s="595"/>
      <c r="V943" s="595"/>
      <c r="W943" s="594"/>
      <c r="X943" s="594"/>
      <c r="Y943" s="595"/>
      <c r="Z943" s="595"/>
      <c r="AA943" s="595"/>
      <c r="AB943" s="595"/>
      <c r="AC943" s="595"/>
    </row>
    <row r="944" spans="1:29" ht="12.75" customHeight="1">
      <c r="A944" s="601"/>
      <c r="B944" s="602"/>
      <c r="C944" s="602"/>
      <c r="D944" s="602"/>
      <c r="E944" s="602"/>
      <c r="F944" s="602"/>
      <c r="G944" s="602"/>
      <c r="H944" s="602"/>
      <c r="I944" s="602"/>
      <c r="J944" s="602"/>
      <c r="K944" s="602"/>
      <c r="L944" s="603"/>
      <c r="M944" s="603"/>
      <c r="N944" s="603"/>
      <c r="O944" s="603"/>
      <c r="P944" s="603"/>
      <c r="Q944" s="595"/>
      <c r="R944" s="595"/>
      <c r="S944" s="595"/>
      <c r="T944" s="595"/>
      <c r="U944" s="595"/>
      <c r="V944" s="595"/>
      <c r="W944" s="594"/>
      <c r="X944" s="594"/>
      <c r="Y944" s="595"/>
      <c r="Z944" s="595"/>
      <c r="AA944" s="595"/>
      <c r="AB944" s="595"/>
      <c r="AC944" s="595"/>
    </row>
    <row r="945" spans="1:29" ht="12.75" customHeight="1">
      <c r="A945" s="601"/>
      <c r="B945" s="602"/>
      <c r="C945" s="602"/>
      <c r="D945" s="602"/>
      <c r="E945" s="602"/>
      <c r="F945" s="602"/>
      <c r="G945" s="602"/>
      <c r="H945" s="602"/>
      <c r="I945" s="602"/>
      <c r="J945" s="602"/>
      <c r="K945" s="602"/>
      <c r="L945" s="603"/>
      <c r="M945" s="603"/>
      <c r="N945" s="603"/>
      <c r="O945" s="603"/>
      <c r="P945" s="603"/>
      <c r="Q945" s="595"/>
      <c r="R945" s="595"/>
      <c r="S945" s="595"/>
      <c r="T945" s="595"/>
      <c r="U945" s="595"/>
      <c r="V945" s="595"/>
      <c r="W945" s="594"/>
      <c r="X945" s="594"/>
      <c r="Y945" s="595"/>
      <c r="Z945" s="595"/>
      <c r="AA945" s="595"/>
      <c r="AB945" s="595"/>
      <c r="AC945" s="595"/>
    </row>
    <row r="946" spans="1:29" ht="12.75" customHeight="1">
      <c r="A946" s="601"/>
      <c r="B946" s="602"/>
      <c r="C946" s="602"/>
      <c r="D946" s="602"/>
      <c r="E946" s="602"/>
      <c r="F946" s="602"/>
      <c r="G946" s="602"/>
      <c r="H946" s="602"/>
      <c r="I946" s="602"/>
      <c r="J946" s="602"/>
      <c r="K946" s="602"/>
      <c r="L946" s="603"/>
      <c r="M946" s="603"/>
      <c r="N946" s="603"/>
      <c r="O946" s="603"/>
      <c r="P946" s="603"/>
      <c r="Q946" s="595"/>
      <c r="R946" s="595"/>
      <c r="S946" s="595"/>
      <c r="T946" s="595"/>
      <c r="U946" s="595"/>
      <c r="V946" s="595"/>
      <c r="W946" s="594"/>
      <c r="X946" s="594"/>
      <c r="Y946" s="595"/>
      <c r="Z946" s="595"/>
      <c r="AA946" s="595"/>
      <c r="AB946" s="595"/>
      <c r="AC946" s="595"/>
    </row>
    <row r="947" spans="1:29" ht="12.75" customHeight="1">
      <c r="A947" s="601"/>
      <c r="B947" s="602"/>
      <c r="C947" s="602"/>
      <c r="D947" s="602"/>
      <c r="E947" s="602"/>
      <c r="F947" s="602"/>
      <c r="G947" s="602"/>
      <c r="H947" s="602"/>
      <c r="I947" s="602"/>
      <c r="J947" s="602"/>
      <c r="K947" s="602"/>
      <c r="L947" s="603"/>
      <c r="M947" s="603"/>
      <c r="N947" s="603"/>
      <c r="O947" s="603"/>
      <c r="P947" s="603"/>
      <c r="Q947" s="595"/>
      <c r="R947" s="595"/>
      <c r="S947" s="595"/>
      <c r="T947" s="595"/>
      <c r="U947" s="595"/>
      <c r="V947" s="595"/>
      <c r="W947" s="594"/>
      <c r="X947" s="594"/>
      <c r="Y947" s="595"/>
      <c r="Z947" s="595"/>
      <c r="AA947" s="595"/>
      <c r="AB947" s="595"/>
      <c r="AC947" s="595"/>
    </row>
    <row r="948" spans="1:29" ht="12.75" customHeight="1">
      <c r="A948" s="601"/>
      <c r="B948" s="602"/>
      <c r="C948" s="602"/>
      <c r="D948" s="602"/>
      <c r="E948" s="602"/>
      <c r="F948" s="602"/>
      <c r="G948" s="602"/>
      <c r="H948" s="602"/>
      <c r="I948" s="602"/>
      <c r="J948" s="602"/>
      <c r="K948" s="602"/>
      <c r="L948" s="603"/>
      <c r="M948" s="603"/>
      <c r="N948" s="603"/>
      <c r="O948" s="603"/>
      <c r="P948" s="603"/>
      <c r="Q948" s="595"/>
      <c r="R948" s="595"/>
      <c r="S948" s="595"/>
      <c r="T948" s="595"/>
      <c r="U948" s="595"/>
      <c r="V948" s="595"/>
      <c r="W948" s="594"/>
      <c r="X948" s="594"/>
      <c r="Y948" s="595"/>
      <c r="Z948" s="595"/>
      <c r="AA948" s="595"/>
      <c r="AB948" s="595"/>
      <c r="AC948" s="595"/>
    </row>
    <row r="949" spans="1:29" ht="12.75" customHeight="1">
      <c r="A949" s="601"/>
      <c r="B949" s="602"/>
      <c r="C949" s="602"/>
      <c r="D949" s="602"/>
      <c r="E949" s="602"/>
      <c r="F949" s="602"/>
      <c r="G949" s="602"/>
      <c r="H949" s="602"/>
      <c r="I949" s="602"/>
      <c r="J949" s="602"/>
      <c r="K949" s="602"/>
      <c r="L949" s="603"/>
      <c r="M949" s="603"/>
      <c r="N949" s="603"/>
      <c r="O949" s="603"/>
      <c r="P949" s="603"/>
      <c r="Q949" s="595"/>
      <c r="R949" s="595"/>
      <c r="S949" s="595"/>
      <c r="T949" s="595"/>
      <c r="U949" s="595"/>
      <c r="V949" s="595"/>
      <c r="W949" s="594"/>
      <c r="X949" s="594"/>
      <c r="Y949" s="595"/>
      <c r="Z949" s="595"/>
      <c r="AA949" s="595"/>
      <c r="AB949" s="595"/>
      <c r="AC949" s="595"/>
    </row>
    <row r="950" spans="1:29" ht="12.75" customHeight="1">
      <c r="A950" s="601"/>
      <c r="B950" s="602"/>
      <c r="C950" s="602"/>
      <c r="D950" s="602"/>
      <c r="E950" s="602"/>
      <c r="F950" s="602"/>
      <c r="G950" s="602"/>
      <c r="H950" s="602"/>
      <c r="I950" s="602"/>
      <c r="J950" s="602"/>
      <c r="K950" s="602"/>
      <c r="L950" s="603"/>
      <c r="M950" s="603"/>
      <c r="N950" s="603"/>
      <c r="O950" s="603"/>
      <c r="P950" s="603"/>
      <c r="Q950" s="595"/>
      <c r="R950" s="595"/>
      <c r="S950" s="595"/>
      <c r="T950" s="595"/>
      <c r="U950" s="595"/>
      <c r="V950" s="595"/>
      <c r="W950" s="594"/>
      <c r="X950" s="594"/>
      <c r="Y950" s="595"/>
      <c r="Z950" s="595"/>
      <c r="AA950" s="595"/>
      <c r="AB950" s="595"/>
      <c r="AC950" s="595"/>
    </row>
    <row r="951" spans="1:29" ht="12.75" customHeight="1">
      <c r="A951" s="601"/>
      <c r="B951" s="602"/>
      <c r="C951" s="602"/>
      <c r="D951" s="602"/>
      <c r="E951" s="602"/>
      <c r="F951" s="602"/>
      <c r="G951" s="602"/>
      <c r="H951" s="602"/>
      <c r="I951" s="602"/>
      <c r="J951" s="602"/>
      <c r="K951" s="602"/>
      <c r="L951" s="603"/>
      <c r="M951" s="603"/>
      <c r="N951" s="603"/>
      <c r="O951" s="603"/>
      <c r="P951" s="603"/>
      <c r="Q951" s="595"/>
      <c r="R951" s="595"/>
      <c r="S951" s="595"/>
      <c r="T951" s="595"/>
      <c r="U951" s="595"/>
      <c r="V951" s="595"/>
      <c r="W951" s="594"/>
      <c r="X951" s="594"/>
      <c r="Y951" s="595"/>
      <c r="Z951" s="595"/>
      <c r="AA951" s="595"/>
      <c r="AB951" s="595"/>
      <c r="AC951" s="595"/>
    </row>
    <row r="952" spans="1:29" ht="12.75" customHeight="1">
      <c r="A952" s="601"/>
      <c r="B952" s="602"/>
      <c r="C952" s="602"/>
      <c r="D952" s="602"/>
      <c r="E952" s="602"/>
      <c r="F952" s="602"/>
      <c r="G952" s="602"/>
      <c r="H952" s="602"/>
      <c r="I952" s="602"/>
      <c r="J952" s="602"/>
      <c r="K952" s="602"/>
      <c r="L952" s="603"/>
      <c r="M952" s="603"/>
      <c r="N952" s="603"/>
      <c r="O952" s="603"/>
      <c r="P952" s="603"/>
      <c r="Q952" s="595"/>
      <c r="R952" s="595"/>
      <c r="S952" s="595"/>
      <c r="T952" s="595"/>
      <c r="U952" s="595"/>
      <c r="V952" s="595"/>
      <c r="W952" s="594"/>
      <c r="X952" s="594"/>
      <c r="Y952" s="595"/>
      <c r="Z952" s="595"/>
      <c r="AA952" s="595"/>
      <c r="AB952" s="595"/>
      <c r="AC952" s="595"/>
    </row>
    <row r="953" spans="1:29" ht="12.75" customHeight="1">
      <c r="A953" s="601"/>
      <c r="B953" s="602"/>
      <c r="C953" s="602"/>
      <c r="D953" s="602"/>
      <c r="E953" s="602"/>
      <c r="F953" s="602"/>
      <c r="G953" s="602"/>
      <c r="H953" s="602"/>
      <c r="I953" s="602"/>
      <c r="J953" s="602"/>
      <c r="K953" s="602"/>
      <c r="L953" s="603"/>
      <c r="M953" s="603"/>
      <c r="N953" s="603"/>
      <c r="O953" s="603"/>
      <c r="P953" s="603"/>
      <c r="Q953" s="595"/>
      <c r="R953" s="595"/>
      <c r="S953" s="595"/>
      <c r="T953" s="595"/>
      <c r="U953" s="595"/>
      <c r="V953" s="595"/>
      <c r="W953" s="594"/>
      <c r="X953" s="594"/>
      <c r="Y953" s="595"/>
      <c r="Z953" s="595"/>
      <c r="AA953" s="595"/>
      <c r="AB953" s="595"/>
      <c r="AC953" s="595"/>
    </row>
    <row r="954" spans="1:29" ht="12.75" customHeight="1">
      <c r="A954" s="601"/>
      <c r="B954" s="602"/>
      <c r="C954" s="602"/>
      <c r="D954" s="602"/>
      <c r="E954" s="602"/>
      <c r="F954" s="602"/>
      <c r="G954" s="602"/>
      <c r="H954" s="602"/>
      <c r="I954" s="602"/>
      <c r="J954" s="602"/>
      <c r="K954" s="602"/>
      <c r="L954" s="603"/>
      <c r="M954" s="603"/>
      <c r="N954" s="603"/>
      <c r="O954" s="603"/>
      <c r="P954" s="603"/>
      <c r="Q954" s="595"/>
      <c r="R954" s="595"/>
      <c r="S954" s="595"/>
      <c r="T954" s="595"/>
      <c r="U954" s="595"/>
      <c r="V954" s="595"/>
      <c r="W954" s="594"/>
      <c r="X954" s="594"/>
      <c r="Y954" s="595"/>
      <c r="Z954" s="595"/>
      <c r="AA954" s="595"/>
      <c r="AB954" s="595"/>
      <c r="AC954" s="595"/>
    </row>
    <row r="955" spans="1:29" ht="12.75" customHeight="1">
      <c r="A955" s="601"/>
      <c r="B955" s="602"/>
      <c r="C955" s="602"/>
      <c r="D955" s="602"/>
      <c r="E955" s="602"/>
      <c r="F955" s="602"/>
      <c r="G955" s="602"/>
      <c r="H955" s="602"/>
      <c r="I955" s="602"/>
      <c r="J955" s="602"/>
      <c r="K955" s="602"/>
      <c r="L955" s="603"/>
      <c r="M955" s="603"/>
      <c r="N955" s="603"/>
      <c r="O955" s="603"/>
      <c r="P955" s="603"/>
      <c r="Q955" s="595"/>
      <c r="R955" s="595"/>
      <c r="S955" s="595"/>
      <c r="T955" s="595"/>
      <c r="U955" s="595"/>
      <c r="V955" s="595"/>
      <c r="W955" s="594"/>
      <c r="X955" s="594"/>
      <c r="Y955" s="595"/>
      <c r="Z955" s="595"/>
      <c r="AA955" s="595"/>
      <c r="AB955" s="595"/>
      <c r="AC955" s="595"/>
    </row>
    <row r="956" spans="1:29" ht="12.75" customHeight="1">
      <c r="A956" s="601"/>
      <c r="B956" s="602"/>
      <c r="C956" s="602"/>
      <c r="D956" s="602"/>
      <c r="E956" s="602"/>
      <c r="F956" s="602"/>
      <c r="G956" s="602"/>
      <c r="H956" s="602"/>
      <c r="I956" s="602"/>
      <c r="J956" s="602"/>
      <c r="K956" s="602"/>
      <c r="L956" s="603"/>
      <c r="M956" s="603"/>
      <c r="N956" s="603"/>
      <c r="O956" s="603"/>
      <c r="P956" s="603"/>
      <c r="Q956" s="595"/>
      <c r="R956" s="595"/>
      <c r="S956" s="595"/>
      <c r="T956" s="595"/>
      <c r="U956" s="595"/>
      <c r="V956" s="595"/>
      <c r="W956" s="594"/>
      <c r="X956" s="594"/>
      <c r="Y956" s="595"/>
      <c r="Z956" s="595"/>
      <c r="AA956" s="595"/>
      <c r="AB956" s="595"/>
      <c r="AC956" s="595"/>
    </row>
    <row r="957" spans="1:29" ht="12.75" customHeight="1">
      <c r="A957" s="601"/>
      <c r="B957" s="602"/>
      <c r="C957" s="602"/>
      <c r="D957" s="602"/>
      <c r="E957" s="602"/>
      <c r="F957" s="602"/>
      <c r="G957" s="602"/>
      <c r="H957" s="602"/>
      <c r="I957" s="602"/>
      <c r="J957" s="602"/>
      <c r="K957" s="602"/>
      <c r="L957" s="603"/>
      <c r="M957" s="603"/>
      <c r="N957" s="603"/>
      <c r="O957" s="603"/>
      <c r="P957" s="603"/>
      <c r="Q957" s="595"/>
      <c r="R957" s="595"/>
      <c r="S957" s="595"/>
      <c r="T957" s="595"/>
      <c r="U957" s="595"/>
      <c r="V957" s="595"/>
      <c r="W957" s="594"/>
      <c r="X957" s="594"/>
      <c r="Y957" s="595"/>
      <c r="Z957" s="595"/>
      <c r="AA957" s="595"/>
      <c r="AB957" s="595"/>
      <c r="AC957" s="595"/>
    </row>
    <row r="958" spans="1:29" ht="12.75" customHeight="1">
      <c r="A958" s="601"/>
      <c r="B958" s="602"/>
      <c r="C958" s="602"/>
      <c r="D958" s="602"/>
      <c r="E958" s="602"/>
      <c r="F958" s="602"/>
      <c r="G958" s="602"/>
      <c r="H958" s="602"/>
      <c r="I958" s="602"/>
      <c r="J958" s="602"/>
      <c r="K958" s="602"/>
      <c r="L958" s="603"/>
      <c r="M958" s="603"/>
      <c r="N958" s="603"/>
      <c r="O958" s="603"/>
      <c r="P958" s="603"/>
      <c r="Q958" s="595"/>
      <c r="R958" s="595"/>
      <c r="S958" s="595"/>
      <c r="T958" s="595"/>
      <c r="U958" s="595"/>
      <c r="V958" s="595"/>
      <c r="W958" s="594"/>
      <c r="X958" s="594"/>
      <c r="Y958" s="595"/>
      <c r="Z958" s="595"/>
      <c r="AA958" s="595"/>
      <c r="AB958" s="595"/>
      <c r="AC958" s="595"/>
    </row>
    <row r="959" spans="1:29" ht="12.75" customHeight="1">
      <c r="A959" s="601"/>
      <c r="B959" s="602"/>
      <c r="C959" s="602"/>
      <c r="D959" s="602"/>
      <c r="E959" s="602"/>
      <c r="F959" s="602"/>
      <c r="G959" s="602"/>
      <c r="H959" s="602"/>
      <c r="I959" s="602"/>
      <c r="J959" s="602"/>
      <c r="K959" s="602"/>
      <c r="L959" s="603"/>
      <c r="M959" s="603"/>
      <c r="N959" s="603"/>
      <c r="O959" s="603"/>
      <c r="P959" s="603"/>
      <c r="Q959" s="595"/>
      <c r="R959" s="595"/>
      <c r="S959" s="595"/>
      <c r="T959" s="595"/>
      <c r="U959" s="595"/>
      <c r="V959" s="595"/>
      <c r="W959" s="594"/>
      <c r="X959" s="594"/>
      <c r="Y959" s="595"/>
      <c r="Z959" s="595"/>
      <c r="AA959" s="595"/>
      <c r="AB959" s="595"/>
      <c r="AC959" s="595"/>
    </row>
    <row r="960" spans="1:29" ht="12.75" customHeight="1">
      <c r="A960" s="601"/>
      <c r="B960" s="602"/>
      <c r="C960" s="602"/>
      <c r="D960" s="602"/>
      <c r="E960" s="602"/>
      <c r="F960" s="602"/>
      <c r="G960" s="602"/>
      <c r="H960" s="602"/>
      <c r="I960" s="602"/>
      <c r="J960" s="602"/>
      <c r="K960" s="602"/>
      <c r="L960" s="603"/>
      <c r="M960" s="603"/>
      <c r="N960" s="603"/>
      <c r="O960" s="603"/>
      <c r="P960" s="603"/>
      <c r="Q960" s="595"/>
      <c r="R960" s="595"/>
      <c r="S960" s="595"/>
      <c r="T960" s="595"/>
      <c r="U960" s="595"/>
      <c r="V960" s="595"/>
      <c r="W960" s="594"/>
      <c r="X960" s="594"/>
      <c r="Y960" s="595"/>
      <c r="Z960" s="595"/>
      <c r="AA960" s="595"/>
      <c r="AB960" s="595"/>
      <c r="AC960" s="595"/>
    </row>
    <row r="961" spans="1:29" ht="12.75" customHeight="1">
      <c r="A961" s="601"/>
      <c r="B961" s="602"/>
      <c r="C961" s="602"/>
      <c r="D961" s="602"/>
      <c r="E961" s="602"/>
      <c r="F961" s="602"/>
      <c r="G961" s="602"/>
      <c r="H961" s="602"/>
      <c r="I961" s="602"/>
      <c r="J961" s="602"/>
      <c r="K961" s="602"/>
      <c r="L961" s="603"/>
      <c r="M961" s="603"/>
      <c r="N961" s="603"/>
      <c r="O961" s="603"/>
      <c r="P961" s="603"/>
      <c r="Q961" s="595"/>
      <c r="R961" s="595"/>
      <c r="S961" s="595"/>
      <c r="T961" s="595"/>
      <c r="U961" s="595"/>
      <c r="V961" s="595"/>
      <c r="W961" s="594"/>
      <c r="X961" s="594"/>
      <c r="Y961" s="595"/>
      <c r="Z961" s="595"/>
      <c r="AA961" s="595"/>
      <c r="AB961" s="595"/>
      <c r="AC961" s="595"/>
    </row>
    <row r="962" spans="1:29" ht="12.75" customHeight="1">
      <c r="A962" s="601"/>
      <c r="B962" s="602"/>
      <c r="C962" s="602"/>
      <c r="D962" s="602"/>
      <c r="E962" s="602"/>
      <c r="F962" s="602"/>
      <c r="G962" s="602"/>
      <c r="H962" s="602"/>
      <c r="I962" s="602"/>
      <c r="J962" s="602"/>
      <c r="K962" s="602"/>
      <c r="L962" s="603"/>
      <c r="M962" s="603"/>
      <c r="N962" s="603"/>
      <c r="O962" s="603"/>
      <c r="P962" s="603"/>
      <c r="Q962" s="595"/>
      <c r="R962" s="595"/>
      <c r="S962" s="595"/>
      <c r="T962" s="595"/>
      <c r="U962" s="595"/>
      <c r="V962" s="595"/>
      <c r="W962" s="594"/>
      <c r="X962" s="594"/>
      <c r="Y962" s="595"/>
      <c r="Z962" s="595"/>
      <c r="AA962" s="595"/>
      <c r="AB962" s="595"/>
      <c r="AC962" s="595"/>
    </row>
    <row r="963" spans="1:29" ht="12.75" customHeight="1">
      <c r="A963" s="601"/>
      <c r="B963" s="602"/>
      <c r="C963" s="602"/>
      <c r="D963" s="602"/>
      <c r="E963" s="602"/>
      <c r="F963" s="602"/>
      <c r="G963" s="602"/>
      <c r="H963" s="602"/>
      <c r="I963" s="602"/>
      <c r="J963" s="602"/>
      <c r="K963" s="602"/>
      <c r="L963" s="603"/>
      <c r="M963" s="603"/>
      <c r="N963" s="603"/>
      <c r="O963" s="603"/>
      <c r="P963" s="603"/>
      <c r="Q963" s="595"/>
      <c r="R963" s="595"/>
      <c r="S963" s="595"/>
      <c r="T963" s="595"/>
      <c r="U963" s="595"/>
      <c r="V963" s="595"/>
      <c r="W963" s="594"/>
      <c r="X963" s="594"/>
      <c r="Y963" s="595"/>
      <c r="Z963" s="595"/>
      <c r="AA963" s="595"/>
      <c r="AB963" s="595"/>
      <c r="AC963" s="595"/>
    </row>
    <row r="964" spans="1:29" ht="12.75" customHeight="1">
      <c r="A964" s="601"/>
      <c r="B964" s="602"/>
      <c r="C964" s="602"/>
      <c r="D964" s="602"/>
      <c r="E964" s="602"/>
      <c r="F964" s="602"/>
      <c r="G964" s="602"/>
      <c r="H964" s="602"/>
      <c r="I964" s="602"/>
      <c r="J964" s="602"/>
      <c r="K964" s="602"/>
      <c r="L964" s="603"/>
      <c r="M964" s="603"/>
      <c r="N964" s="603"/>
      <c r="O964" s="603"/>
      <c r="P964" s="603"/>
      <c r="Q964" s="595"/>
      <c r="R964" s="595"/>
      <c r="S964" s="595"/>
      <c r="T964" s="595"/>
      <c r="U964" s="595"/>
      <c r="V964" s="595"/>
      <c r="W964" s="594"/>
      <c r="X964" s="594"/>
      <c r="Y964" s="595"/>
      <c r="Z964" s="595"/>
      <c r="AA964" s="595"/>
      <c r="AB964" s="595"/>
      <c r="AC964" s="595"/>
    </row>
    <row r="965" spans="1:29" ht="12.75" customHeight="1">
      <c r="A965" s="601"/>
      <c r="B965" s="602"/>
      <c r="C965" s="602"/>
      <c r="D965" s="602"/>
      <c r="E965" s="602"/>
      <c r="F965" s="602"/>
      <c r="G965" s="602"/>
      <c r="H965" s="602"/>
      <c r="I965" s="602"/>
      <c r="J965" s="602"/>
      <c r="K965" s="602"/>
      <c r="L965" s="603"/>
      <c r="M965" s="603"/>
      <c r="N965" s="603"/>
      <c r="O965" s="603"/>
      <c r="P965" s="603"/>
      <c r="Q965" s="595"/>
      <c r="R965" s="595"/>
      <c r="S965" s="595"/>
      <c r="T965" s="595"/>
      <c r="U965" s="595"/>
      <c r="V965" s="595"/>
      <c r="W965" s="594"/>
      <c r="X965" s="594"/>
      <c r="Y965" s="595"/>
      <c r="Z965" s="595"/>
      <c r="AA965" s="595"/>
      <c r="AB965" s="595"/>
      <c r="AC965" s="595"/>
    </row>
    <row r="966" spans="1:29" ht="12.75" customHeight="1">
      <c r="A966" s="601"/>
      <c r="B966" s="602"/>
      <c r="C966" s="602"/>
      <c r="D966" s="602"/>
      <c r="E966" s="602"/>
      <c r="F966" s="602"/>
      <c r="G966" s="602"/>
      <c r="H966" s="602"/>
      <c r="I966" s="602"/>
      <c r="J966" s="602"/>
      <c r="K966" s="602"/>
      <c r="L966" s="603"/>
      <c r="M966" s="603"/>
      <c r="N966" s="603"/>
      <c r="O966" s="603"/>
      <c r="P966" s="603"/>
      <c r="Q966" s="595"/>
      <c r="R966" s="595"/>
      <c r="S966" s="595"/>
      <c r="T966" s="595"/>
      <c r="U966" s="595"/>
      <c r="V966" s="595"/>
      <c r="W966" s="594"/>
      <c r="X966" s="594"/>
      <c r="Y966" s="595"/>
      <c r="Z966" s="595"/>
      <c r="AA966" s="595"/>
      <c r="AB966" s="595"/>
      <c r="AC966" s="595"/>
    </row>
    <row r="967" spans="1:29" ht="12.75" customHeight="1">
      <c r="A967" s="601"/>
      <c r="B967" s="602"/>
      <c r="C967" s="602"/>
      <c r="D967" s="602"/>
      <c r="E967" s="602"/>
      <c r="F967" s="602"/>
      <c r="G967" s="602"/>
      <c r="H967" s="602"/>
      <c r="I967" s="602"/>
      <c r="J967" s="602"/>
      <c r="K967" s="602"/>
      <c r="L967" s="603"/>
      <c r="M967" s="603"/>
      <c r="N967" s="603"/>
      <c r="O967" s="603"/>
      <c r="P967" s="603"/>
      <c r="Q967" s="595"/>
      <c r="R967" s="595"/>
      <c r="S967" s="595"/>
      <c r="T967" s="595"/>
      <c r="U967" s="595"/>
      <c r="V967" s="595"/>
      <c r="W967" s="594"/>
      <c r="X967" s="594"/>
      <c r="Y967" s="595"/>
      <c r="Z967" s="595"/>
      <c r="AA967" s="595"/>
      <c r="AB967" s="595"/>
      <c r="AC967" s="595"/>
    </row>
    <row r="968" spans="1:29" ht="12.75" customHeight="1">
      <c r="A968" s="601"/>
      <c r="B968" s="602"/>
      <c r="C968" s="602"/>
      <c r="D968" s="602"/>
      <c r="E968" s="602"/>
      <c r="F968" s="602"/>
      <c r="G968" s="602"/>
      <c r="H968" s="602"/>
      <c r="I968" s="602"/>
      <c r="J968" s="602"/>
      <c r="K968" s="602"/>
      <c r="L968" s="603"/>
      <c r="M968" s="603"/>
      <c r="N968" s="603"/>
      <c r="O968" s="603"/>
      <c r="P968" s="603"/>
      <c r="Q968" s="595"/>
      <c r="R968" s="595"/>
      <c r="S968" s="595"/>
      <c r="T968" s="595"/>
      <c r="U968" s="595"/>
      <c r="V968" s="595"/>
      <c r="W968" s="594"/>
      <c r="X968" s="594"/>
      <c r="Y968" s="595"/>
      <c r="Z968" s="595"/>
      <c r="AA968" s="595"/>
      <c r="AB968" s="595"/>
      <c r="AC968" s="595"/>
    </row>
    <row r="969" spans="1:29" ht="12.75" customHeight="1">
      <c r="A969" s="601"/>
      <c r="B969" s="602"/>
      <c r="C969" s="602"/>
      <c r="D969" s="602"/>
      <c r="E969" s="602"/>
      <c r="F969" s="602"/>
      <c r="G969" s="602"/>
      <c r="H969" s="602"/>
      <c r="I969" s="602"/>
      <c r="J969" s="602"/>
      <c r="K969" s="602"/>
      <c r="L969" s="603"/>
      <c r="M969" s="603"/>
      <c r="N969" s="603"/>
      <c r="O969" s="603"/>
      <c r="P969" s="603"/>
      <c r="Q969" s="595"/>
      <c r="R969" s="595"/>
      <c r="S969" s="595"/>
      <c r="T969" s="595"/>
      <c r="U969" s="595"/>
      <c r="V969" s="595"/>
      <c r="W969" s="594"/>
      <c r="X969" s="594"/>
      <c r="Y969" s="595"/>
      <c r="Z969" s="595"/>
      <c r="AA969" s="595"/>
      <c r="AB969" s="595"/>
      <c r="AC969" s="595"/>
    </row>
    <row r="970" spans="1:29" ht="12.75" customHeight="1">
      <c r="A970" s="601"/>
      <c r="B970" s="602"/>
      <c r="C970" s="602"/>
      <c r="D970" s="602"/>
      <c r="E970" s="602"/>
      <c r="F970" s="602"/>
      <c r="G970" s="602"/>
      <c r="H970" s="602"/>
      <c r="I970" s="602"/>
      <c r="J970" s="602"/>
      <c r="K970" s="602"/>
      <c r="L970" s="603"/>
      <c r="M970" s="603"/>
      <c r="N970" s="603"/>
      <c r="O970" s="603"/>
      <c r="P970" s="603"/>
      <c r="Q970" s="595"/>
      <c r="R970" s="595"/>
      <c r="S970" s="595"/>
      <c r="T970" s="595"/>
      <c r="U970" s="595"/>
      <c r="V970" s="595"/>
      <c r="W970" s="594"/>
      <c r="X970" s="594"/>
      <c r="Y970" s="595"/>
      <c r="Z970" s="595"/>
      <c r="AA970" s="595"/>
      <c r="AB970" s="595"/>
      <c r="AC970" s="595"/>
    </row>
    <row r="971" spans="1:29" ht="12.75" customHeight="1">
      <c r="A971" s="601"/>
      <c r="B971" s="602"/>
      <c r="C971" s="602"/>
      <c r="D971" s="602"/>
      <c r="E971" s="602"/>
      <c r="F971" s="602"/>
      <c r="G971" s="602"/>
      <c r="H971" s="602"/>
      <c r="I971" s="602"/>
      <c r="J971" s="602"/>
      <c r="K971" s="602"/>
      <c r="L971" s="603"/>
      <c r="M971" s="603"/>
      <c r="N971" s="603"/>
      <c r="O971" s="603"/>
      <c r="P971" s="603"/>
      <c r="Q971" s="595"/>
      <c r="R971" s="595"/>
      <c r="S971" s="595"/>
      <c r="T971" s="595"/>
      <c r="U971" s="595"/>
      <c r="V971" s="595"/>
      <c r="W971" s="594"/>
      <c r="X971" s="594"/>
      <c r="Y971" s="595"/>
      <c r="Z971" s="595"/>
      <c r="AA971" s="595"/>
      <c r="AB971" s="595"/>
      <c r="AC971" s="595"/>
    </row>
    <row r="972" spans="1:29" ht="12.75" customHeight="1">
      <c r="A972" s="601"/>
      <c r="B972" s="602"/>
      <c r="C972" s="602"/>
      <c r="D972" s="602"/>
      <c r="E972" s="602"/>
      <c r="F972" s="602"/>
      <c r="G972" s="602"/>
      <c r="H972" s="602"/>
      <c r="I972" s="602"/>
      <c r="J972" s="602"/>
      <c r="K972" s="602"/>
      <c r="L972" s="603"/>
      <c r="M972" s="603"/>
      <c r="N972" s="603"/>
      <c r="O972" s="603"/>
      <c r="P972" s="603"/>
      <c r="Q972" s="595"/>
      <c r="R972" s="595"/>
      <c r="S972" s="595"/>
      <c r="T972" s="595"/>
      <c r="U972" s="595"/>
      <c r="V972" s="595"/>
      <c r="W972" s="594"/>
      <c r="X972" s="594"/>
      <c r="Y972" s="595"/>
      <c r="Z972" s="595"/>
      <c r="AA972" s="595"/>
      <c r="AB972" s="595"/>
      <c r="AC972" s="595"/>
    </row>
    <row r="973" spans="1:29" ht="12.75" customHeight="1">
      <c r="A973" s="601"/>
      <c r="B973" s="602"/>
      <c r="C973" s="602"/>
      <c r="D973" s="602"/>
      <c r="E973" s="602"/>
      <c r="F973" s="602"/>
      <c r="G973" s="602"/>
      <c r="H973" s="602"/>
      <c r="I973" s="602"/>
      <c r="J973" s="602"/>
      <c r="K973" s="602"/>
      <c r="L973" s="603"/>
      <c r="M973" s="603"/>
      <c r="N973" s="603"/>
      <c r="O973" s="603"/>
      <c r="P973" s="603"/>
      <c r="Q973" s="595"/>
      <c r="R973" s="595"/>
      <c r="S973" s="595"/>
      <c r="T973" s="595"/>
      <c r="U973" s="595"/>
      <c r="V973" s="595"/>
      <c r="W973" s="594"/>
      <c r="X973" s="594"/>
      <c r="Y973" s="595"/>
      <c r="Z973" s="595"/>
      <c r="AA973" s="595"/>
      <c r="AB973" s="595"/>
      <c r="AC973" s="595"/>
    </row>
    <row r="974" spans="1:29" ht="12.75" customHeight="1">
      <c r="A974" s="601"/>
      <c r="B974" s="602"/>
      <c r="C974" s="602"/>
      <c r="D974" s="602"/>
      <c r="E974" s="602"/>
      <c r="F974" s="602"/>
      <c r="G974" s="602"/>
      <c r="H974" s="602"/>
      <c r="I974" s="602"/>
      <c r="J974" s="602"/>
      <c r="K974" s="602"/>
      <c r="L974" s="603"/>
      <c r="M974" s="603"/>
      <c r="N974" s="603"/>
      <c r="O974" s="603"/>
      <c r="P974" s="603"/>
      <c r="Q974" s="595"/>
      <c r="R974" s="595"/>
      <c r="S974" s="595"/>
      <c r="T974" s="595"/>
      <c r="U974" s="595"/>
      <c r="V974" s="595"/>
      <c r="W974" s="594"/>
      <c r="X974" s="594"/>
      <c r="Y974" s="595"/>
      <c r="Z974" s="595"/>
      <c r="AA974" s="595"/>
      <c r="AB974" s="595"/>
      <c r="AC974" s="595"/>
    </row>
    <row r="975" spans="1:29" ht="12.75" customHeight="1">
      <c r="A975" s="601"/>
      <c r="B975" s="602"/>
      <c r="C975" s="602"/>
      <c r="D975" s="602"/>
      <c r="E975" s="602"/>
      <c r="F975" s="602"/>
      <c r="G975" s="602"/>
      <c r="H975" s="602"/>
      <c r="I975" s="602"/>
      <c r="J975" s="602"/>
      <c r="K975" s="602"/>
      <c r="L975" s="603"/>
      <c r="M975" s="603"/>
      <c r="N975" s="603"/>
      <c r="O975" s="603"/>
      <c r="P975" s="603"/>
      <c r="Q975" s="595"/>
      <c r="R975" s="595"/>
      <c r="S975" s="595"/>
      <c r="T975" s="595"/>
      <c r="U975" s="595"/>
      <c r="V975" s="595"/>
      <c r="W975" s="594"/>
      <c r="X975" s="594"/>
      <c r="Y975" s="595"/>
      <c r="Z975" s="595"/>
      <c r="AA975" s="595"/>
      <c r="AB975" s="595"/>
      <c r="AC975" s="595"/>
    </row>
    <row r="976" spans="1:29" ht="12.75" customHeight="1">
      <c r="A976" s="601"/>
      <c r="B976" s="602"/>
      <c r="C976" s="602"/>
      <c r="D976" s="602"/>
      <c r="E976" s="602"/>
      <c r="F976" s="602"/>
      <c r="G976" s="602"/>
      <c r="H976" s="602"/>
      <c r="I976" s="602"/>
      <c r="J976" s="602"/>
      <c r="K976" s="602"/>
      <c r="L976" s="603"/>
      <c r="M976" s="603"/>
      <c r="N976" s="603"/>
      <c r="O976" s="603"/>
      <c r="P976" s="603"/>
      <c r="Q976" s="595"/>
      <c r="R976" s="595"/>
      <c r="S976" s="595"/>
      <c r="T976" s="595"/>
      <c r="U976" s="595"/>
      <c r="V976" s="595"/>
      <c r="W976" s="594"/>
      <c r="X976" s="594"/>
      <c r="Y976" s="595"/>
      <c r="Z976" s="595"/>
      <c r="AA976" s="595"/>
      <c r="AB976" s="595"/>
      <c r="AC976" s="595"/>
    </row>
    <row r="977" spans="1:29" ht="12.75" customHeight="1">
      <c r="A977" s="601"/>
      <c r="B977" s="602"/>
      <c r="C977" s="602"/>
      <c r="D977" s="602"/>
      <c r="E977" s="602"/>
      <c r="F977" s="602"/>
      <c r="G977" s="602"/>
      <c r="H977" s="602"/>
      <c r="I977" s="602"/>
      <c r="J977" s="602"/>
      <c r="K977" s="602"/>
      <c r="L977" s="603"/>
      <c r="M977" s="603"/>
      <c r="N977" s="603"/>
      <c r="O977" s="603"/>
      <c r="P977" s="603"/>
      <c r="Q977" s="595"/>
      <c r="R977" s="595"/>
      <c r="S977" s="595"/>
      <c r="T977" s="595"/>
      <c r="U977" s="595"/>
      <c r="V977" s="595"/>
      <c r="W977" s="594"/>
      <c r="X977" s="594"/>
      <c r="Y977" s="595"/>
      <c r="Z977" s="595"/>
      <c r="AA977" s="595"/>
      <c r="AB977" s="595"/>
      <c r="AC977" s="595"/>
    </row>
    <row r="978" spans="1:29" ht="12.75" customHeight="1">
      <c r="A978" s="601"/>
      <c r="B978" s="602"/>
      <c r="C978" s="602"/>
      <c r="D978" s="602"/>
      <c r="E978" s="602"/>
      <c r="F978" s="602"/>
      <c r="G978" s="602"/>
      <c r="H978" s="602"/>
      <c r="I978" s="602"/>
      <c r="J978" s="602"/>
      <c r="K978" s="602"/>
      <c r="L978" s="603"/>
      <c r="M978" s="603"/>
      <c r="N978" s="603"/>
      <c r="O978" s="603"/>
      <c r="P978" s="603"/>
      <c r="Q978" s="595"/>
      <c r="R978" s="595"/>
      <c r="S978" s="595"/>
      <c r="T978" s="595"/>
      <c r="U978" s="595"/>
      <c r="V978" s="595"/>
      <c r="W978" s="594"/>
      <c r="X978" s="594"/>
      <c r="Y978" s="595"/>
      <c r="Z978" s="595"/>
      <c r="AA978" s="595"/>
      <c r="AB978" s="595"/>
      <c r="AC978" s="595"/>
    </row>
    <row r="979" spans="1:29" ht="12.75" customHeight="1">
      <c r="A979" s="601"/>
      <c r="B979" s="602"/>
      <c r="C979" s="602"/>
      <c r="D979" s="602"/>
      <c r="E979" s="602"/>
      <c r="F979" s="602"/>
      <c r="G979" s="602"/>
      <c r="H979" s="602"/>
      <c r="I979" s="602"/>
      <c r="J979" s="602"/>
      <c r="K979" s="602"/>
      <c r="L979" s="603"/>
      <c r="M979" s="603"/>
      <c r="N979" s="603"/>
      <c r="O979" s="603"/>
      <c r="P979" s="603"/>
      <c r="Q979" s="595"/>
      <c r="R979" s="595"/>
      <c r="S979" s="595"/>
      <c r="T979" s="595"/>
      <c r="U979" s="595"/>
      <c r="V979" s="595"/>
      <c r="W979" s="594"/>
      <c r="X979" s="594"/>
      <c r="Y979" s="595"/>
      <c r="Z979" s="595"/>
      <c r="AA979" s="595"/>
      <c r="AB979" s="595"/>
      <c r="AC979" s="595"/>
    </row>
    <row r="980" spans="1:29" ht="12.75" customHeight="1">
      <c r="A980" s="601"/>
      <c r="B980" s="602"/>
      <c r="C980" s="602"/>
      <c r="D980" s="602"/>
      <c r="E980" s="602"/>
      <c r="F980" s="602"/>
      <c r="G980" s="602"/>
      <c r="H980" s="602"/>
      <c r="I980" s="602"/>
      <c r="J980" s="602"/>
      <c r="K980" s="602"/>
      <c r="L980" s="603"/>
      <c r="M980" s="603"/>
      <c r="N980" s="603"/>
      <c r="O980" s="603"/>
      <c r="P980" s="603"/>
      <c r="Q980" s="595"/>
      <c r="R980" s="595"/>
      <c r="S980" s="595"/>
      <c r="T980" s="595"/>
      <c r="U980" s="595"/>
      <c r="V980" s="595"/>
      <c r="W980" s="594"/>
      <c r="X980" s="594"/>
      <c r="Y980" s="595"/>
      <c r="Z980" s="595"/>
      <c r="AA980" s="595"/>
      <c r="AB980" s="595"/>
      <c r="AC980" s="595"/>
    </row>
    <row r="981" spans="1:29" ht="12.75" customHeight="1">
      <c r="A981" s="601"/>
      <c r="B981" s="602"/>
      <c r="C981" s="602"/>
      <c r="D981" s="602"/>
      <c r="E981" s="602"/>
      <c r="F981" s="602"/>
      <c r="G981" s="602"/>
      <c r="H981" s="602"/>
      <c r="I981" s="602"/>
      <c r="J981" s="602"/>
      <c r="K981" s="602"/>
      <c r="L981" s="603"/>
      <c r="M981" s="603"/>
      <c r="N981" s="603"/>
      <c r="O981" s="603"/>
      <c r="P981" s="603"/>
      <c r="Q981" s="595"/>
      <c r="R981" s="595"/>
      <c r="S981" s="595"/>
      <c r="T981" s="595"/>
      <c r="U981" s="595"/>
      <c r="V981" s="595"/>
      <c r="W981" s="594"/>
      <c r="X981" s="594"/>
      <c r="Y981" s="595"/>
      <c r="Z981" s="595"/>
      <c r="AA981" s="595"/>
      <c r="AB981" s="595"/>
      <c r="AC981" s="595"/>
    </row>
    <row r="982" spans="1:29" ht="12.75" customHeight="1">
      <c r="A982" s="601"/>
      <c r="B982" s="602"/>
      <c r="C982" s="602"/>
      <c r="D982" s="602"/>
      <c r="E982" s="602"/>
      <c r="F982" s="602"/>
      <c r="G982" s="602"/>
      <c r="H982" s="602"/>
      <c r="I982" s="602"/>
      <c r="J982" s="602"/>
      <c r="K982" s="602"/>
      <c r="L982" s="603"/>
      <c r="M982" s="603"/>
      <c r="N982" s="603"/>
      <c r="O982" s="603"/>
      <c r="P982" s="603"/>
      <c r="Q982" s="595"/>
      <c r="R982" s="595"/>
      <c r="S982" s="595"/>
      <c r="T982" s="595"/>
      <c r="U982" s="595"/>
      <c r="V982" s="595"/>
      <c r="W982" s="594"/>
      <c r="X982" s="594"/>
      <c r="Y982" s="595"/>
      <c r="Z982" s="595"/>
      <c r="AA982" s="595"/>
      <c r="AB982" s="595"/>
      <c r="AC982" s="595"/>
    </row>
    <row r="983" spans="1:29" ht="12.75" customHeight="1">
      <c r="A983" s="601"/>
      <c r="B983" s="602"/>
      <c r="C983" s="602"/>
      <c r="D983" s="602"/>
      <c r="E983" s="602"/>
      <c r="F983" s="602"/>
      <c r="G983" s="602"/>
      <c r="H983" s="602"/>
      <c r="I983" s="602"/>
      <c r="J983" s="602"/>
      <c r="K983" s="602"/>
      <c r="L983" s="603"/>
      <c r="M983" s="603"/>
      <c r="N983" s="603"/>
      <c r="O983" s="603"/>
      <c r="P983" s="603"/>
      <c r="Q983" s="595"/>
      <c r="R983" s="595"/>
      <c r="S983" s="595"/>
      <c r="T983" s="595"/>
      <c r="U983" s="595"/>
      <c r="V983" s="595"/>
      <c r="W983" s="594"/>
      <c r="X983" s="594"/>
      <c r="Y983" s="595"/>
      <c r="Z983" s="595"/>
      <c r="AA983" s="595"/>
      <c r="AB983" s="595"/>
      <c r="AC983" s="595"/>
    </row>
    <row r="984" spans="1:29" ht="12.75" customHeight="1">
      <c r="A984" s="601"/>
      <c r="B984" s="602"/>
      <c r="C984" s="602"/>
      <c r="D984" s="602"/>
      <c r="E984" s="602"/>
      <c r="F984" s="602"/>
      <c r="G984" s="602"/>
      <c r="H984" s="602"/>
      <c r="I984" s="602"/>
      <c r="J984" s="602"/>
      <c r="K984" s="602"/>
      <c r="L984" s="603"/>
      <c r="M984" s="603"/>
      <c r="N984" s="603"/>
      <c r="O984" s="603"/>
      <c r="P984" s="603"/>
      <c r="Q984" s="595"/>
      <c r="R984" s="595"/>
      <c r="S984" s="595"/>
      <c r="T984" s="595"/>
      <c r="U984" s="595"/>
      <c r="V984" s="595"/>
      <c r="W984" s="594"/>
      <c r="X984" s="594"/>
      <c r="Y984" s="595"/>
      <c r="Z984" s="595"/>
      <c r="AA984" s="595"/>
      <c r="AB984" s="595"/>
      <c r="AC984" s="595"/>
    </row>
    <row r="985" spans="1:29" ht="12.75" customHeight="1">
      <c r="A985" s="601"/>
      <c r="B985" s="602"/>
      <c r="C985" s="602"/>
      <c r="D985" s="602"/>
      <c r="E985" s="602"/>
      <c r="F985" s="602"/>
      <c r="G985" s="602"/>
      <c r="H985" s="602"/>
      <c r="I985" s="602"/>
      <c r="J985" s="602"/>
      <c r="K985" s="602"/>
      <c r="L985" s="603"/>
      <c r="M985" s="603"/>
      <c r="N985" s="603"/>
      <c r="O985" s="603"/>
      <c r="P985" s="603"/>
      <c r="Q985" s="595"/>
      <c r="R985" s="595"/>
      <c r="S985" s="595"/>
      <c r="T985" s="595"/>
      <c r="U985" s="595"/>
      <c r="V985" s="595"/>
      <c r="W985" s="594"/>
      <c r="X985" s="594"/>
      <c r="Y985" s="595"/>
      <c r="Z985" s="595"/>
      <c r="AA985" s="595"/>
      <c r="AB985" s="595"/>
      <c r="AC985" s="595"/>
    </row>
    <row r="986" spans="1:29" ht="12.75" customHeight="1">
      <c r="A986" s="601"/>
      <c r="B986" s="602"/>
      <c r="C986" s="602"/>
      <c r="D986" s="602"/>
      <c r="E986" s="602"/>
      <c r="F986" s="602"/>
      <c r="G986" s="602"/>
      <c r="H986" s="602"/>
      <c r="I986" s="602"/>
      <c r="J986" s="602"/>
      <c r="K986" s="602"/>
      <c r="L986" s="603"/>
      <c r="M986" s="603"/>
      <c r="N986" s="603"/>
      <c r="O986" s="603"/>
      <c r="P986" s="603"/>
      <c r="Q986" s="595"/>
      <c r="R986" s="595"/>
      <c r="S986" s="595"/>
      <c r="T986" s="595"/>
      <c r="U986" s="595"/>
      <c r="V986" s="595"/>
      <c r="W986" s="594"/>
      <c r="X986" s="594"/>
      <c r="Y986" s="595"/>
      <c r="Z986" s="595"/>
      <c r="AA986" s="595"/>
      <c r="AB986" s="595"/>
      <c r="AC986" s="595"/>
    </row>
    <row r="987" spans="1:29" ht="12.75" customHeight="1">
      <c r="A987" s="601"/>
      <c r="B987" s="602"/>
      <c r="C987" s="602"/>
      <c r="D987" s="602"/>
      <c r="E987" s="602"/>
      <c r="F987" s="602"/>
      <c r="G987" s="602"/>
      <c r="H987" s="602"/>
      <c r="I987" s="602"/>
      <c r="J987" s="602"/>
      <c r="K987" s="602"/>
      <c r="L987" s="603"/>
      <c r="M987" s="603"/>
      <c r="N987" s="603"/>
      <c r="O987" s="603"/>
      <c r="P987" s="603"/>
      <c r="Q987" s="595"/>
      <c r="R987" s="595"/>
      <c r="S987" s="595"/>
      <c r="T987" s="595"/>
      <c r="U987" s="595"/>
      <c r="V987" s="595"/>
      <c r="W987" s="594"/>
      <c r="X987" s="594"/>
      <c r="Y987" s="595"/>
      <c r="Z987" s="595"/>
      <c r="AA987" s="595"/>
      <c r="AB987" s="595"/>
      <c r="AC987" s="595"/>
    </row>
    <row r="988" spans="1:29" ht="12.75" customHeight="1">
      <c r="A988" s="601"/>
      <c r="B988" s="602"/>
      <c r="C988" s="602"/>
      <c r="D988" s="602"/>
      <c r="E988" s="602"/>
      <c r="F988" s="602"/>
      <c r="G988" s="602"/>
      <c r="H988" s="602"/>
      <c r="I988" s="602"/>
      <c r="J988" s="602"/>
      <c r="K988" s="602"/>
      <c r="L988" s="603"/>
      <c r="M988" s="603"/>
      <c r="N988" s="603"/>
      <c r="O988" s="603"/>
      <c r="P988" s="603"/>
      <c r="Q988" s="595"/>
      <c r="R988" s="595"/>
      <c r="S988" s="595"/>
      <c r="T988" s="595"/>
      <c r="U988" s="595"/>
      <c r="V988" s="595"/>
      <c r="W988" s="594"/>
      <c r="X988" s="594"/>
      <c r="Y988" s="595"/>
      <c r="Z988" s="595"/>
      <c r="AA988" s="595"/>
      <c r="AB988" s="595"/>
      <c r="AC988" s="595"/>
    </row>
    <row r="989" spans="1:29" ht="12.75" customHeight="1">
      <c r="A989" s="601"/>
      <c r="B989" s="602"/>
      <c r="C989" s="602"/>
      <c r="D989" s="602"/>
      <c r="E989" s="602"/>
      <c r="F989" s="602"/>
      <c r="G989" s="602"/>
      <c r="H989" s="602"/>
      <c r="I989" s="602"/>
      <c r="J989" s="602"/>
      <c r="K989" s="602"/>
      <c r="L989" s="603"/>
      <c r="M989" s="603"/>
      <c r="N989" s="603"/>
      <c r="O989" s="603"/>
      <c r="P989" s="603"/>
      <c r="Q989" s="595"/>
      <c r="R989" s="595"/>
      <c r="S989" s="595"/>
      <c r="T989" s="595"/>
      <c r="U989" s="595"/>
      <c r="V989" s="595"/>
      <c r="W989" s="594"/>
      <c r="X989" s="594"/>
      <c r="Y989" s="595"/>
      <c r="Z989" s="595"/>
      <c r="AA989" s="595"/>
      <c r="AB989" s="595"/>
      <c r="AC989" s="595"/>
    </row>
    <row r="990" spans="1:29" ht="12.75" customHeight="1">
      <c r="A990" s="601"/>
      <c r="B990" s="602"/>
      <c r="C990" s="602"/>
      <c r="D990" s="602"/>
      <c r="E990" s="602"/>
      <c r="F990" s="602"/>
      <c r="G990" s="602"/>
      <c r="H990" s="602"/>
      <c r="I990" s="602"/>
      <c r="J990" s="602"/>
      <c r="K990" s="602"/>
      <c r="L990" s="603"/>
      <c r="M990" s="603"/>
      <c r="N990" s="603"/>
      <c r="O990" s="603"/>
      <c r="P990" s="603"/>
      <c r="Q990" s="595"/>
      <c r="R990" s="595"/>
      <c r="S990" s="595"/>
      <c r="T990" s="595"/>
      <c r="U990" s="595"/>
      <c r="V990" s="595"/>
      <c r="W990" s="594"/>
      <c r="X990" s="594"/>
      <c r="Y990" s="595"/>
      <c r="Z990" s="595"/>
      <c r="AA990" s="595"/>
      <c r="AB990" s="595"/>
      <c r="AC990" s="595"/>
    </row>
  </sheetData>
  <sheetProtection sheet="1" objects="1" scenarios="1"/>
  <mergeCells count="70">
    <mergeCell ref="N69:O69"/>
    <mergeCell ref="D65:E65"/>
    <mergeCell ref="F65:G65"/>
    <mergeCell ref="H65:I65"/>
    <mergeCell ref="J65:K65"/>
    <mergeCell ref="L65:M65"/>
    <mergeCell ref="N65:O65"/>
    <mergeCell ref="D69:E69"/>
    <mergeCell ref="F69:G69"/>
    <mergeCell ref="H69:I69"/>
    <mergeCell ref="J69:K69"/>
    <mergeCell ref="L69:M69"/>
    <mergeCell ref="N59:O59"/>
    <mergeCell ref="D54:E54"/>
    <mergeCell ref="F54:G54"/>
    <mergeCell ref="H54:I54"/>
    <mergeCell ref="J54:K54"/>
    <mergeCell ref="L54:M54"/>
    <mergeCell ref="N54:O54"/>
    <mergeCell ref="D59:E59"/>
    <mergeCell ref="F59:G59"/>
    <mergeCell ref="H59:I59"/>
    <mergeCell ref="J59:K59"/>
    <mergeCell ref="L59:M59"/>
    <mergeCell ref="N48:O48"/>
    <mergeCell ref="D43:E43"/>
    <mergeCell ref="F43:G43"/>
    <mergeCell ref="H43:I43"/>
    <mergeCell ref="J43:K43"/>
    <mergeCell ref="L43:M43"/>
    <mergeCell ref="N43:O43"/>
    <mergeCell ref="D48:E48"/>
    <mergeCell ref="F48:G48"/>
    <mergeCell ref="H48:I48"/>
    <mergeCell ref="J48:K48"/>
    <mergeCell ref="L48:M48"/>
    <mergeCell ref="N36:O36"/>
    <mergeCell ref="D32:E32"/>
    <mergeCell ref="F32:G32"/>
    <mergeCell ref="H32:I32"/>
    <mergeCell ref="J32:K32"/>
    <mergeCell ref="L32:M32"/>
    <mergeCell ref="N32:O32"/>
    <mergeCell ref="D36:E36"/>
    <mergeCell ref="F36:G36"/>
    <mergeCell ref="H36:I36"/>
    <mergeCell ref="J36:K36"/>
    <mergeCell ref="L36:M36"/>
    <mergeCell ref="L5:M5"/>
    <mergeCell ref="D24:E24"/>
    <mergeCell ref="F24:G24"/>
    <mergeCell ref="H24:I24"/>
    <mergeCell ref="J24:K24"/>
    <mergeCell ref="L24:M24"/>
    <mergeCell ref="D4:K4"/>
    <mergeCell ref="L4:O4"/>
    <mergeCell ref="Q4:W4"/>
    <mergeCell ref="N24:O24"/>
    <mergeCell ref="N5:O5"/>
    <mergeCell ref="Q5:W5"/>
    <mergeCell ref="D16:E16"/>
    <mergeCell ref="F16:G16"/>
    <mergeCell ref="H16:I16"/>
    <mergeCell ref="J16:K16"/>
    <mergeCell ref="L16:M16"/>
    <mergeCell ref="N16:O16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5" tint="0.39997558519241921"/>
  </sheetPr>
  <dimension ref="A1:X46"/>
  <sheetViews>
    <sheetView workbookViewId="0">
      <selection activeCell="C9" sqref="C9"/>
    </sheetView>
  </sheetViews>
  <sheetFormatPr defaultRowHeight="12.75"/>
  <cols>
    <col min="1" max="1" width="30.140625" customWidth="1"/>
    <col min="2" max="6" width="7.28515625" customWidth="1"/>
    <col min="7" max="12" width="7.28515625" style="356" customWidth="1"/>
    <col min="13" max="14" width="7.28515625" style="28" customWidth="1"/>
    <col min="15" max="19" width="7.28515625" customWidth="1"/>
    <col min="20" max="20" width="11.28515625" bestFit="1" customWidth="1"/>
    <col min="21" max="21" width="10" customWidth="1"/>
  </cols>
  <sheetData>
    <row r="1" spans="1:24" ht="15.75">
      <c r="B1" s="493"/>
      <c r="C1" s="493"/>
      <c r="D1" s="493"/>
      <c r="E1" s="493"/>
      <c r="G1" s="492"/>
      <c r="H1" s="492"/>
      <c r="I1" s="492" t="s">
        <v>455</v>
      </c>
      <c r="J1" s="492"/>
      <c r="K1" s="492"/>
      <c r="L1" s="492"/>
      <c r="M1" s="492"/>
      <c r="N1" s="492"/>
      <c r="O1" s="492"/>
      <c r="P1" s="28"/>
      <c r="S1" s="356"/>
      <c r="T1" s="2"/>
      <c r="U1" s="2"/>
      <c r="V1" s="2"/>
      <c r="W1" s="2"/>
      <c r="X1" s="2"/>
    </row>
    <row r="2" spans="1:24" ht="13.5" thickBot="1"/>
    <row r="3" spans="1:24" ht="13.5" thickBot="1">
      <c r="B3" s="840" t="s">
        <v>339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2"/>
      <c r="N3" s="840" t="s">
        <v>340</v>
      </c>
      <c r="O3" s="841"/>
      <c r="P3" s="841"/>
      <c r="Q3" s="841"/>
      <c r="R3" s="841"/>
      <c r="S3" s="842"/>
      <c r="T3" s="438"/>
    </row>
    <row r="4" spans="1:24" ht="13.5" thickBot="1">
      <c r="B4" s="484">
        <v>1</v>
      </c>
      <c r="C4" s="484">
        <v>2</v>
      </c>
      <c r="D4" s="484">
        <v>3</v>
      </c>
      <c r="E4" s="484">
        <v>4</v>
      </c>
      <c r="F4" s="484">
        <v>5</v>
      </c>
      <c r="G4" s="484">
        <v>6</v>
      </c>
      <c r="H4" s="484">
        <v>7</v>
      </c>
      <c r="I4" s="484">
        <v>8</v>
      </c>
      <c r="J4" s="484">
        <v>9</v>
      </c>
      <c r="K4" s="484">
        <v>10</v>
      </c>
      <c r="L4" s="484">
        <v>11</v>
      </c>
      <c r="M4" s="695">
        <v>12</v>
      </c>
      <c r="N4" s="484">
        <v>13</v>
      </c>
      <c r="O4" s="484">
        <v>14</v>
      </c>
      <c r="P4" s="484">
        <v>15</v>
      </c>
      <c r="Q4" s="484">
        <v>16</v>
      </c>
      <c r="R4" s="484">
        <v>17</v>
      </c>
      <c r="S4" s="695">
        <v>18</v>
      </c>
      <c r="T4" s="579" t="s">
        <v>23</v>
      </c>
    </row>
    <row r="5" spans="1:24">
      <c r="A5" s="692" t="s">
        <v>222</v>
      </c>
      <c r="B5" s="64"/>
      <c r="C5" s="26"/>
      <c r="D5" s="26"/>
      <c r="E5" s="26"/>
      <c r="F5" s="26"/>
      <c r="G5" s="26"/>
      <c r="H5" s="26"/>
      <c r="I5" s="26"/>
      <c r="J5" s="26"/>
      <c r="K5" s="26"/>
      <c r="L5" s="26"/>
      <c r="M5" s="696"/>
      <c r="N5" s="704"/>
      <c r="O5" s="26"/>
      <c r="P5" s="26"/>
      <c r="Q5" s="26"/>
      <c r="R5" s="26"/>
      <c r="S5" s="65"/>
      <c r="T5" s="730"/>
    </row>
    <row r="6" spans="1:24">
      <c r="A6" s="476" t="s">
        <v>327</v>
      </c>
      <c r="B6" s="697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9"/>
      <c r="N6" s="705"/>
      <c r="O6" s="698"/>
      <c r="P6" s="698"/>
      <c r="Q6" s="698"/>
      <c r="R6" s="698"/>
      <c r="S6" s="700"/>
      <c r="T6" s="731"/>
      <c r="U6" s="693"/>
      <c r="V6" s="693"/>
    </row>
    <row r="7" spans="1:24">
      <c r="A7" s="3" t="s">
        <v>326</v>
      </c>
      <c r="B7" s="817">
        <v>500</v>
      </c>
      <c r="C7" s="818">
        <v>500</v>
      </c>
      <c r="D7" s="818">
        <v>500</v>
      </c>
      <c r="E7" s="818">
        <v>500</v>
      </c>
      <c r="F7" s="818">
        <v>500</v>
      </c>
      <c r="G7" s="818">
        <v>500</v>
      </c>
      <c r="H7" s="818">
        <v>500</v>
      </c>
      <c r="I7" s="818">
        <v>500</v>
      </c>
      <c r="J7" s="818">
        <v>500</v>
      </c>
      <c r="K7" s="818">
        <v>500</v>
      </c>
      <c r="L7" s="818">
        <v>500</v>
      </c>
      <c r="M7" s="819">
        <v>500</v>
      </c>
      <c r="N7" s="817">
        <v>500</v>
      </c>
      <c r="O7" s="818">
        <v>500</v>
      </c>
      <c r="P7" s="818">
        <v>500</v>
      </c>
      <c r="Q7" s="818">
        <v>500</v>
      </c>
      <c r="R7" s="818">
        <v>500</v>
      </c>
      <c r="S7" s="819">
        <v>500</v>
      </c>
      <c r="T7" s="731">
        <f>SUM(B7:S7)</f>
        <v>9000</v>
      </c>
      <c r="U7" s="693"/>
      <c r="V7" s="693"/>
    </row>
    <row r="8" spans="1:24">
      <c r="A8" s="3" t="s">
        <v>454</v>
      </c>
      <c r="B8" s="817">
        <v>100</v>
      </c>
      <c r="C8" s="818">
        <v>300</v>
      </c>
      <c r="D8" s="818">
        <v>500</v>
      </c>
      <c r="E8" s="818">
        <v>700</v>
      </c>
      <c r="F8" s="818">
        <v>900</v>
      </c>
      <c r="G8" s="818">
        <v>1100</v>
      </c>
      <c r="H8" s="818">
        <v>1300</v>
      </c>
      <c r="I8" s="818">
        <v>1500</v>
      </c>
      <c r="J8" s="818">
        <v>1700</v>
      </c>
      <c r="K8" s="818">
        <v>1900</v>
      </c>
      <c r="L8" s="818">
        <v>2100</v>
      </c>
      <c r="M8" s="819">
        <v>2300</v>
      </c>
      <c r="N8" s="817">
        <v>2500</v>
      </c>
      <c r="O8" s="818">
        <v>2700</v>
      </c>
      <c r="P8" s="818">
        <v>2900</v>
      </c>
      <c r="Q8" s="818">
        <v>3100</v>
      </c>
      <c r="R8" s="818">
        <v>3300</v>
      </c>
      <c r="S8" s="819">
        <v>3500</v>
      </c>
      <c r="T8" s="731">
        <f>SUM(B8:S8)</f>
        <v>32400</v>
      </c>
      <c r="U8" s="693"/>
      <c r="V8" s="693"/>
    </row>
    <row r="9" spans="1:24" s="356" customFormat="1">
      <c r="A9" s="3" t="s">
        <v>408</v>
      </c>
      <c r="B9" s="697">
        <v>3</v>
      </c>
      <c r="C9" s="698">
        <f>+B9</f>
        <v>3</v>
      </c>
      <c r="D9" s="698">
        <f t="shared" ref="D9:M9" si="0">+C9</f>
        <v>3</v>
      </c>
      <c r="E9" s="698">
        <f t="shared" si="0"/>
        <v>3</v>
      </c>
      <c r="F9" s="698">
        <f t="shared" si="0"/>
        <v>3</v>
      </c>
      <c r="G9" s="698">
        <f t="shared" si="0"/>
        <v>3</v>
      </c>
      <c r="H9" s="698">
        <f t="shared" si="0"/>
        <v>3</v>
      </c>
      <c r="I9" s="698">
        <f t="shared" si="0"/>
        <v>3</v>
      </c>
      <c r="J9" s="698">
        <f t="shared" si="0"/>
        <v>3</v>
      </c>
      <c r="K9" s="698">
        <f t="shared" si="0"/>
        <v>3</v>
      </c>
      <c r="L9" s="698">
        <f t="shared" si="0"/>
        <v>3</v>
      </c>
      <c r="M9" s="700">
        <f t="shared" si="0"/>
        <v>3</v>
      </c>
      <c r="N9" s="705">
        <v>2</v>
      </c>
      <c r="O9" s="698">
        <f>+N9</f>
        <v>2</v>
      </c>
      <c r="P9" s="698">
        <f t="shared" ref="P9:S9" si="1">+O9</f>
        <v>2</v>
      </c>
      <c r="Q9" s="698">
        <f t="shared" si="1"/>
        <v>2</v>
      </c>
      <c r="R9" s="698">
        <f t="shared" si="1"/>
        <v>2</v>
      </c>
      <c r="S9" s="700">
        <f t="shared" si="1"/>
        <v>2</v>
      </c>
      <c r="T9" s="731"/>
      <c r="U9" s="693"/>
      <c r="V9" s="693"/>
    </row>
    <row r="10" spans="1:24" s="356" customFormat="1">
      <c r="A10" s="3" t="s">
        <v>456</v>
      </c>
      <c r="B10" s="697">
        <f>+B8/B9</f>
        <v>33.333333333333336</v>
      </c>
      <c r="C10" s="698">
        <f t="shared" ref="C10:S10" si="2">+C8/C9</f>
        <v>100</v>
      </c>
      <c r="D10" s="698">
        <f t="shared" si="2"/>
        <v>166.66666666666666</v>
      </c>
      <c r="E10" s="698">
        <f t="shared" si="2"/>
        <v>233.33333333333334</v>
      </c>
      <c r="F10" s="698">
        <f t="shared" si="2"/>
        <v>300</v>
      </c>
      <c r="G10" s="698">
        <f t="shared" si="2"/>
        <v>366.66666666666669</v>
      </c>
      <c r="H10" s="698">
        <f t="shared" si="2"/>
        <v>433.33333333333331</v>
      </c>
      <c r="I10" s="698">
        <f t="shared" si="2"/>
        <v>500</v>
      </c>
      <c r="J10" s="698">
        <f t="shared" si="2"/>
        <v>566.66666666666663</v>
      </c>
      <c r="K10" s="698">
        <f t="shared" si="2"/>
        <v>633.33333333333337</v>
      </c>
      <c r="L10" s="698">
        <f t="shared" si="2"/>
        <v>700</v>
      </c>
      <c r="M10" s="700">
        <f t="shared" si="2"/>
        <v>766.66666666666663</v>
      </c>
      <c r="N10" s="697">
        <f t="shared" si="2"/>
        <v>1250</v>
      </c>
      <c r="O10" s="698">
        <f t="shared" si="2"/>
        <v>1350</v>
      </c>
      <c r="P10" s="698">
        <f t="shared" si="2"/>
        <v>1450</v>
      </c>
      <c r="Q10" s="698">
        <f t="shared" si="2"/>
        <v>1550</v>
      </c>
      <c r="R10" s="698">
        <f t="shared" si="2"/>
        <v>1650</v>
      </c>
      <c r="S10" s="700">
        <f t="shared" si="2"/>
        <v>1750</v>
      </c>
      <c r="T10" s="731"/>
      <c r="U10" s="693"/>
      <c r="V10" s="693"/>
    </row>
    <row r="11" spans="1:24">
      <c r="A11" s="3"/>
      <c r="B11" s="697"/>
      <c r="C11" s="698"/>
      <c r="D11" s="698"/>
      <c r="E11" s="698"/>
      <c r="F11" s="698"/>
      <c r="G11" s="698"/>
      <c r="H11" s="698"/>
      <c r="I11" s="698"/>
      <c r="J11" s="698"/>
      <c r="K11" s="698"/>
      <c r="L11" s="698"/>
      <c r="M11" s="699"/>
      <c r="N11" s="705"/>
      <c r="O11" s="698"/>
      <c r="P11" s="698"/>
      <c r="Q11" s="698"/>
      <c r="R11" s="698"/>
      <c r="S11" s="700"/>
      <c r="T11" s="731"/>
      <c r="U11" s="693"/>
      <c r="V11" s="693"/>
    </row>
    <row r="12" spans="1:24">
      <c r="A12" s="476" t="s">
        <v>328</v>
      </c>
      <c r="B12" s="697"/>
      <c r="C12" s="698"/>
      <c r="D12" s="698"/>
      <c r="E12" s="698"/>
      <c r="F12" s="698"/>
      <c r="G12" s="698"/>
      <c r="H12" s="698"/>
      <c r="I12" s="698"/>
      <c r="J12" s="698"/>
      <c r="K12" s="698"/>
      <c r="L12" s="698"/>
      <c r="M12" s="699"/>
      <c r="N12" s="705"/>
      <c r="O12" s="698"/>
      <c r="P12" s="698"/>
      <c r="Q12" s="698"/>
      <c r="R12" s="698"/>
      <c r="S12" s="700"/>
      <c r="T12" s="731"/>
      <c r="U12" s="693"/>
      <c r="V12" s="693"/>
    </row>
    <row r="13" spans="1:24">
      <c r="A13" s="3" t="s">
        <v>133</v>
      </c>
      <c r="B13" s="817"/>
      <c r="C13" s="818"/>
      <c r="D13" s="818"/>
      <c r="E13" s="818">
        <v>1000</v>
      </c>
      <c r="F13" s="818"/>
      <c r="G13" s="818"/>
      <c r="H13" s="818"/>
      <c r="I13" s="818"/>
      <c r="J13" s="818"/>
      <c r="K13" s="818">
        <v>3000</v>
      </c>
      <c r="L13" s="818"/>
      <c r="M13" s="820"/>
      <c r="N13" s="821"/>
      <c r="O13" s="818"/>
      <c r="P13" s="818"/>
      <c r="Q13" s="818"/>
      <c r="R13" s="818"/>
      <c r="S13" s="819"/>
      <c r="T13" s="731">
        <f>SUM(B13:S13)</f>
        <v>4000</v>
      </c>
      <c r="U13" s="693"/>
      <c r="V13" s="693"/>
    </row>
    <row r="14" spans="1:24">
      <c r="A14" s="3" t="s">
        <v>329</v>
      </c>
      <c r="B14" s="817"/>
      <c r="C14" s="818"/>
      <c r="D14" s="818">
        <v>500</v>
      </c>
      <c r="E14" s="818"/>
      <c r="F14" s="818"/>
      <c r="G14" s="818"/>
      <c r="H14" s="818"/>
      <c r="I14" s="818"/>
      <c r="J14" s="818">
        <v>600</v>
      </c>
      <c r="K14" s="818"/>
      <c r="L14" s="818"/>
      <c r="M14" s="820"/>
      <c r="N14" s="821"/>
      <c r="O14" s="818"/>
      <c r="P14" s="818"/>
      <c r="Q14" s="818">
        <v>2580</v>
      </c>
      <c r="R14" s="818"/>
      <c r="S14" s="819"/>
      <c r="T14" s="731">
        <f>SUM(B14:S14)</f>
        <v>3680</v>
      </c>
      <c r="U14" s="693"/>
      <c r="V14" s="693"/>
    </row>
    <row r="15" spans="1:24">
      <c r="A15" s="3" t="s">
        <v>336</v>
      </c>
      <c r="B15" s="817"/>
      <c r="C15" s="818"/>
      <c r="D15" s="818"/>
      <c r="E15" s="818">
        <v>250</v>
      </c>
      <c r="F15" s="818"/>
      <c r="G15" s="818"/>
      <c r="H15" s="818"/>
      <c r="I15" s="818">
        <v>300</v>
      </c>
      <c r="J15" s="818"/>
      <c r="K15" s="818"/>
      <c r="L15" s="818"/>
      <c r="M15" s="820"/>
      <c r="N15" s="821"/>
      <c r="O15" s="818">
        <v>500</v>
      </c>
      <c r="P15" s="818"/>
      <c r="Q15" s="818"/>
      <c r="R15" s="818"/>
      <c r="S15" s="819"/>
      <c r="T15" s="731">
        <f>SUM(B15:S15)</f>
        <v>1050</v>
      </c>
      <c r="U15" s="693"/>
      <c r="V15" s="693"/>
    </row>
    <row r="16" spans="1:24">
      <c r="A16" s="3" t="s">
        <v>4</v>
      </c>
      <c r="B16" s="822">
        <v>50</v>
      </c>
      <c r="C16" s="823">
        <f>+B16</f>
        <v>50</v>
      </c>
      <c r="D16" s="823">
        <f t="shared" ref="D16:L16" si="3">+C16</f>
        <v>50</v>
      </c>
      <c r="E16" s="823">
        <f t="shared" si="3"/>
        <v>50</v>
      </c>
      <c r="F16" s="823">
        <f t="shared" si="3"/>
        <v>50</v>
      </c>
      <c r="G16" s="823">
        <f t="shared" si="3"/>
        <v>50</v>
      </c>
      <c r="H16" s="823">
        <f t="shared" si="3"/>
        <v>50</v>
      </c>
      <c r="I16" s="823">
        <f t="shared" si="3"/>
        <v>50</v>
      </c>
      <c r="J16" s="823">
        <f t="shared" si="3"/>
        <v>50</v>
      </c>
      <c r="K16" s="823">
        <f t="shared" si="3"/>
        <v>50</v>
      </c>
      <c r="L16" s="823">
        <f t="shared" si="3"/>
        <v>50</v>
      </c>
      <c r="M16" s="824">
        <f>+L16</f>
        <v>50</v>
      </c>
      <c r="N16" s="825">
        <v>100</v>
      </c>
      <c r="O16" s="823">
        <f>+N16</f>
        <v>100</v>
      </c>
      <c r="P16" s="823">
        <f t="shared" ref="P16:R16" si="4">+O16</f>
        <v>100</v>
      </c>
      <c r="Q16" s="823">
        <f t="shared" si="4"/>
        <v>100</v>
      </c>
      <c r="R16" s="823">
        <f t="shared" si="4"/>
        <v>100</v>
      </c>
      <c r="S16" s="826">
        <f>+R16</f>
        <v>100</v>
      </c>
      <c r="T16" s="732">
        <f>SUM(B16:S16)</f>
        <v>1200</v>
      </c>
      <c r="U16" s="693"/>
      <c r="V16" s="693"/>
    </row>
    <row r="17" spans="1:22" ht="13.5" thickBot="1">
      <c r="A17" s="476" t="s">
        <v>23</v>
      </c>
      <c r="B17" s="701">
        <f>+B7+B8+B13+B14+B15+B16</f>
        <v>650</v>
      </c>
      <c r="C17" s="702">
        <f t="shared" ref="C17:S17" si="5">+C7+C8+C13+C14+C15+C16</f>
        <v>850</v>
      </c>
      <c r="D17" s="702">
        <f t="shared" si="5"/>
        <v>1550</v>
      </c>
      <c r="E17" s="702">
        <f t="shared" si="5"/>
        <v>2500</v>
      </c>
      <c r="F17" s="702">
        <f t="shared" si="5"/>
        <v>1450</v>
      </c>
      <c r="G17" s="702">
        <f t="shared" si="5"/>
        <v>1650</v>
      </c>
      <c r="H17" s="702">
        <f t="shared" si="5"/>
        <v>1850</v>
      </c>
      <c r="I17" s="702">
        <f t="shared" si="5"/>
        <v>2350</v>
      </c>
      <c r="J17" s="702">
        <f t="shared" si="5"/>
        <v>2850</v>
      </c>
      <c r="K17" s="702">
        <f t="shared" si="5"/>
        <v>5450</v>
      </c>
      <c r="L17" s="702">
        <f t="shared" si="5"/>
        <v>2650</v>
      </c>
      <c r="M17" s="703">
        <f t="shared" si="5"/>
        <v>2850</v>
      </c>
      <c r="N17" s="701">
        <f t="shared" si="5"/>
        <v>3100</v>
      </c>
      <c r="O17" s="702">
        <f t="shared" si="5"/>
        <v>3800</v>
      </c>
      <c r="P17" s="702">
        <f t="shared" si="5"/>
        <v>3500</v>
      </c>
      <c r="Q17" s="702">
        <f t="shared" si="5"/>
        <v>6280</v>
      </c>
      <c r="R17" s="702">
        <f t="shared" si="5"/>
        <v>3900</v>
      </c>
      <c r="S17" s="703">
        <f t="shared" si="5"/>
        <v>4100</v>
      </c>
      <c r="T17" s="733">
        <f>SUM(B17:S17)</f>
        <v>51330</v>
      </c>
      <c r="U17" s="693">
        <f>SUM(B17:S17)-T17</f>
        <v>0</v>
      </c>
      <c r="V17" s="693"/>
    </row>
    <row r="18" spans="1:22">
      <c r="B18" s="693"/>
      <c r="C18" s="693"/>
      <c r="D18" s="693"/>
      <c r="E18" s="693"/>
      <c r="F18" s="693"/>
      <c r="G18" s="693"/>
      <c r="H18" s="693"/>
      <c r="I18" s="693"/>
      <c r="J18" s="693"/>
      <c r="K18" s="693"/>
      <c r="L18" s="693"/>
      <c r="M18" s="694"/>
      <c r="N18" s="694"/>
      <c r="O18" s="693"/>
      <c r="P18" s="693"/>
      <c r="Q18" s="693"/>
      <c r="R18" s="693"/>
      <c r="S18" s="693"/>
      <c r="T18" s="693"/>
      <c r="U18" s="693"/>
      <c r="V18" s="693"/>
    </row>
    <row r="19" spans="1:22">
      <c r="B19" s="693"/>
      <c r="C19" s="693"/>
      <c r="D19" s="693"/>
      <c r="E19" s="693"/>
      <c r="F19" s="693"/>
      <c r="G19" s="693"/>
      <c r="H19" s="693"/>
      <c r="I19" s="693"/>
      <c r="J19" s="693"/>
      <c r="K19" s="693"/>
      <c r="L19" s="693"/>
      <c r="M19" s="694"/>
      <c r="N19" s="694"/>
      <c r="O19" s="693"/>
      <c r="P19" s="693"/>
      <c r="Q19" s="693"/>
      <c r="R19" s="693"/>
      <c r="S19" s="693"/>
      <c r="T19" s="693"/>
      <c r="U19" s="693"/>
      <c r="V19" s="693"/>
    </row>
    <row r="20" spans="1:22">
      <c r="B20" s="693"/>
      <c r="C20" s="693"/>
      <c r="D20" s="693"/>
      <c r="E20" s="693"/>
      <c r="F20" s="693"/>
      <c r="G20" s="693"/>
      <c r="H20" s="693"/>
      <c r="I20" s="693"/>
      <c r="J20" s="693"/>
      <c r="K20" s="693"/>
      <c r="L20" s="693"/>
      <c r="M20" s="694"/>
      <c r="N20" s="694"/>
      <c r="O20" s="693"/>
      <c r="P20" s="693"/>
      <c r="Q20" s="693"/>
      <c r="R20" s="693"/>
      <c r="S20" s="693"/>
      <c r="T20" s="693"/>
      <c r="U20" s="693"/>
      <c r="V20" s="693"/>
    </row>
    <row r="21" spans="1:22">
      <c r="B21" s="693"/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4"/>
      <c r="N21" s="694"/>
      <c r="O21" s="693"/>
      <c r="P21" s="693"/>
      <c r="Q21" s="693"/>
      <c r="R21" s="693"/>
      <c r="S21" s="693"/>
      <c r="T21" s="693"/>
      <c r="U21" s="693"/>
      <c r="V21" s="693"/>
    </row>
    <row r="22" spans="1:22">
      <c r="B22" s="693"/>
      <c r="C22" s="693"/>
      <c r="D22" s="693"/>
      <c r="E22" s="693"/>
      <c r="F22" s="693"/>
      <c r="G22" s="693"/>
      <c r="H22" s="693"/>
      <c r="I22" s="693"/>
      <c r="J22" s="693"/>
      <c r="K22" s="693"/>
      <c r="L22" s="693"/>
      <c r="M22" s="694"/>
      <c r="N22" s="694"/>
      <c r="O22" s="693"/>
      <c r="P22" s="693"/>
      <c r="Q22" s="693"/>
      <c r="R22" s="693"/>
      <c r="S22" s="693"/>
      <c r="T22" s="693"/>
      <c r="U22" s="693"/>
      <c r="V22" s="693"/>
    </row>
    <row r="23" spans="1:22">
      <c r="B23" s="693"/>
      <c r="C23" s="693"/>
      <c r="D23" s="693"/>
      <c r="E23" s="693"/>
      <c r="F23" s="693"/>
      <c r="G23" s="693"/>
      <c r="H23" s="693"/>
      <c r="I23" s="693"/>
      <c r="J23" s="693"/>
      <c r="K23" s="693"/>
      <c r="L23" s="693"/>
      <c r="M23" s="694"/>
      <c r="N23" s="694"/>
      <c r="O23" s="693"/>
      <c r="P23" s="693"/>
      <c r="Q23" s="693"/>
      <c r="R23" s="693"/>
      <c r="S23" s="693"/>
      <c r="T23" s="693"/>
      <c r="U23" s="693"/>
      <c r="V23" s="693"/>
    </row>
    <row r="24" spans="1:22">
      <c r="B24" s="693"/>
      <c r="C24" s="693"/>
      <c r="D24" s="693"/>
      <c r="E24" s="693"/>
      <c r="F24" s="693"/>
      <c r="G24" s="693"/>
      <c r="H24" s="693"/>
      <c r="I24" s="693"/>
      <c r="J24" s="693"/>
      <c r="K24" s="693"/>
      <c r="L24" s="693"/>
      <c r="M24" s="694"/>
      <c r="N24" s="694"/>
      <c r="O24" s="693"/>
      <c r="P24" s="693"/>
      <c r="Q24" s="693"/>
      <c r="R24" s="693"/>
      <c r="S24" s="693"/>
      <c r="T24" s="693"/>
      <c r="U24" s="693"/>
      <c r="V24" s="693"/>
    </row>
    <row r="25" spans="1:22">
      <c r="B25" s="693"/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4"/>
      <c r="N25" s="694"/>
      <c r="O25" s="693"/>
      <c r="P25" s="693"/>
      <c r="Q25" s="693"/>
      <c r="R25" s="693"/>
      <c r="S25" s="693"/>
      <c r="T25" s="693"/>
      <c r="U25" s="693"/>
      <c r="V25" s="693"/>
    </row>
    <row r="26" spans="1:22">
      <c r="B26" s="693"/>
      <c r="C26" s="693"/>
      <c r="D26" s="693"/>
      <c r="E26" s="693"/>
      <c r="F26" s="693"/>
      <c r="G26" s="693"/>
      <c r="H26" s="693"/>
      <c r="I26" s="693"/>
      <c r="J26" s="693"/>
      <c r="K26" s="693"/>
      <c r="L26" s="693"/>
      <c r="M26" s="694"/>
      <c r="N26" s="694"/>
      <c r="O26" s="693"/>
      <c r="P26" s="693"/>
      <c r="Q26" s="693"/>
      <c r="R26" s="693"/>
      <c r="S26" s="693"/>
      <c r="T26" s="693"/>
      <c r="U26" s="693"/>
      <c r="V26" s="693"/>
    </row>
    <row r="27" spans="1:22">
      <c r="B27" s="693"/>
      <c r="C27" s="693"/>
      <c r="D27" s="693"/>
      <c r="E27" s="693"/>
      <c r="F27" s="693"/>
      <c r="G27" s="693"/>
      <c r="H27" s="693"/>
      <c r="I27" s="693"/>
      <c r="J27" s="693"/>
      <c r="K27" s="693"/>
      <c r="L27" s="693"/>
      <c r="M27" s="694"/>
      <c r="N27" s="694"/>
      <c r="O27" s="693"/>
      <c r="P27" s="693"/>
      <c r="Q27" s="693"/>
      <c r="R27" s="693"/>
      <c r="S27" s="693"/>
      <c r="T27" s="693"/>
      <c r="U27" s="693"/>
      <c r="V27" s="693"/>
    </row>
    <row r="28" spans="1:22">
      <c r="B28" s="693"/>
      <c r="C28" s="693"/>
      <c r="D28" s="693"/>
      <c r="E28" s="693"/>
      <c r="F28" s="693"/>
      <c r="G28" s="693"/>
      <c r="H28" s="693"/>
      <c r="I28" s="693"/>
      <c r="J28" s="693"/>
      <c r="K28" s="693"/>
      <c r="L28" s="693"/>
      <c r="M28" s="694"/>
      <c r="N28" s="694"/>
      <c r="O28" s="693"/>
      <c r="P28" s="693"/>
      <c r="Q28" s="693"/>
      <c r="R28" s="693"/>
      <c r="S28" s="693"/>
      <c r="T28" s="693"/>
      <c r="U28" s="693"/>
      <c r="V28" s="693"/>
    </row>
    <row r="29" spans="1:22">
      <c r="B29" s="693"/>
      <c r="C29" s="693"/>
      <c r="D29" s="693"/>
      <c r="E29" s="693"/>
      <c r="F29" s="693"/>
      <c r="G29" s="693"/>
      <c r="H29" s="693"/>
      <c r="I29" s="693"/>
      <c r="J29" s="693"/>
      <c r="K29" s="693"/>
      <c r="L29" s="693"/>
      <c r="M29" s="694"/>
      <c r="N29" s="694"/>
      <c r="O29" s="693"/>
      <c r="P29" s="693"/>
      <c r="Q29" s="693"/>
      <c r="R29" s="693"/>
      <c r="S29" s="693"/>
      <c r="T29" s="693"/>
      <c r="U29" s="693"/>
      <c r="V29" s="693"/>
    </row>
    <row r="30" spans="1:22">
      <c r="B30" s="693"/>
      <c r="C30" s="693"/>
      <c r="D30" s="693"/>
      <c r="E30" s="693"/>
      <c r="F30" s="693"/>
      <c r="G30" s="693"/>
      <c r="H30" s="693"/>
      <c r="I30" s="693"/>
      <c r="J30" s="693"/>
      <c r="K30" s="693"/>
      <c r="L30" s="693"/>
      <c r="M30" s="694"/>
      <c r="N30" s="694"/>
      <c r="O30" s="693"/>
      <c r="P30" s="693"/>
      <c r="Q30" s="693"/>
      <c r="R30" s="693"/>
      <c r="S30" s="693"/>
      <c r="T30" s="693"/>
      <c r="U30" s="693"/>
      <c r="V30" s="693"/>
    </row>
    <row r="31" spans="1:22">
      <c r="B31" s="693"/>
      <c r="C31" s="693"/>
      <c r="D31" s="693"/>
      <c r="E31" s="693"/>
      <c r="F31" s="693"/>
      <c r="G31" s="693"/>
      <c r="H31" s="693"/>
      <c r="I31" s="693"/>
      <c r="J31" s="693"/>
      <c r="K31" s="693"/>
      <c r="L31" s="693"/>
      <c r="M31" s="694"/>
      <c r="N31" s="694"/>
      <c r="O31" s="693"/>
      <c r="P31" s="693"/>
      <c r="Q31" s="693"/>
      <c r="R31" s="693"/>
      <c r="S31" s="693"/>
      <c r="T31" s="693"/>
      <c r="U31" s="693"/>
      <c r="V31" s="693"/>
    </row>
    <row r="32" spans="1:22">
      <c r="B32" s="693"/>
      <c r="C32" s="693"/>
      <c r="D32" s="693"/>
      <c r="E32" s="693"/>
      <c r="F32" s="693"/>
      <c r="G32" s="693"/>
      <c r="H32" s="693"/>
      <c r="I32" s="693"/>
      <c r="J32" s="693"/>
      <c r="K32" s="693"/>
      <c r="L32" s="693"/>
      <c r="M32" s="694"/>
      <c r="N32" s="694"/>
      <c r="O32" s="693"/>
      <c r="P32" s="693"/>
      <c r="Q32" s="693"/>
      <c r="R32" s="693"/>
      <c r="S32" s="693"/>
      <c r="T32" s="693"/>
      <c r="U32" s="693"/>
      <c r="V32" s="693"/>
    </row>
    <row r="33" spans="2:22">
      <c r="B33" s="693"/>
      <c r="C33" s="693"/>
      <c r="D33" s="693"/>
      <c r="E33" s="693"/>
      <c r="F33" s="693"/>
      <c r="G33" s="693"/>
      <c r="H33" s="693"/>
      <c r="I33" s="693"/>
      <c r="J33" s="693"/>
      <c r="K33" s="693"/>
      <c r="L33" s="693"/>
      <c r="M33" s="694"/>
      <c r="N33" s="694"/>
      <c r="O33" s="693"/>
      <c r="P33" s="693"/>
      <c r="Q33" s="693"/>
      <c r="R33" s="693"/>
      <c r="S33" s="693"/>
      <c r="T33" s="693"/>
      <c r="U33" s="693"/>
      <c r="V33" s="693"/>
    </row>
    <row r="34" spans="2:22">
      <c r="B34" s="693"/>
      <c r="C34" s="693"/>
      <c r="D34" s="693"/>
      <c r="E34" s="693"/>
      <c r="F34" s="693"/>
      <c r="G34" s="693"/>
      <c r="H34" s="693"/>
      <c r="I34" s="693"/>
      <c r="J34" s="693"/>
      <c r="K34" s="693"/>
      <c r="L34" s="693"/>
      <c r="M34" s="694"/>
      <c r="N34" s="694"/>
      <c r="O34" s="693"/>
      <c r="P34" s="693"/>
      <c r="Q34" s="693"/>
      <c r="R34" s="693"/>
      <c r="S34" s="693"/>
      <c r="T34" s="693"/>
      <c r="U34" s="693"/>
      <c r="V34" s="693"/>
    </row>
    <row r="35" spans="2:22">
      <c r="B35" s="693"/>
      <c r="C35" s="693"/>
      <c r="D35" s="693"/>
      <c r="E35" s="693"/>
      <c r="F35" s="693"/>
      <c r="G35" s="693"/>
      <c r="H35" s="693"/>
      <c r="I35" s="693"/>
      <c r="J35" s="693"/>
      <c r="K35" s="693"/>
      <c r="L35" s="693"/>
      <c r="M35" s="694"/>
      <c r="N35" s="694"/>
      <c r="O35" s="693"/>
      <c r="P35" s="693"/>
      <c r="Q35" s="693"/>
      <c r="R35" s="693"/>
      <c r="S35" s="693"/>
      <c r="T35" s="693"/>
      <c r="U35" s="693"/>
      <c r="V35" s="693"/>
    </row>
    <row r="36" spans="2:22">
      <c r="B36" s="693"/>
      <c r="C36" s="693"/>
      <c r="D36" s="693"/>
      <c r="E36" s="693"/>
      <c r="F36" s="693"/>
      <c r="G36" s="693"/>
      <c r="H36" s="693"/>
      <c r="I36" s="693"/>
      <c r="J36" s="693"/>
      <c r="K36" s="693"/>
      <c r="L36" s="693"/>
      <c r="M36" s="694"/>
      <c r="N36" s="694"/>
      <c r="O36" s="693"/>
      <c r="P36" s="693"/>
      <c r="Q36" s="693"/>
      <c r="R36" s="693"/>
      <c r="S36" s="693"/>
      <c r="T36" s="693"/>
      <c r="U36" s="693"/>
      <c r="V36" s="693"/>
    </row>
    <row r="37" spans="2:22">
      <c r="B37" s="693"/>
      <c r="C37" s="693"/>
      <c r="D37" s="693"/>
      <c r="E37" s="693"/>
      <c r="F37" s="693"/>
      <c r="G37" s="693"/>
      <c r="H37" s="693"/>
      <c r="I37" s="693"/>
      <c r="J37" s="693"/>
      <c r="K37" s="693"/>
      <c r="L37" s="693"/>
      <c r="M37" s="694"/>
      <c r="N37" s="694"/>
      <c r="O37" s="693"/>
      <c r="P37" s="693"/>
      <c r="Q37" s="693"/>
      <c r="R37" s="693"/>
      <c r="S37" s="693"/>
      <c r="T37" s="693"/>
      <c r="U37" s="693"/>
      <c r="V37" s="693"/>
    </row>
    <row r="38" spans="2:22">
      <c r="B38" s="693"/>
      <c r="C38" s="693"/>
      <c r="D38" s="693"/>
      <c r="E38" s="693"/>
      <c r="F38" s="693"/>
      <c r="G38" s="693"/>
      <c r="H38" s="693"/>
      <c r="I38" s="693"/>
      <c r="J38" s="693"/>
      <c r="K38" s="693"/>
      <c r="L38" s="693"/>
      <c r="M38" s="694"/>
      <c r="N38" s="694"/>
      <c r="O38" s="693"/>
      <c r="P38" s="693"/>
      <c r="Q38" s="693"/>
      <c r="R38" s="693"/>
      <c r="S38" s="693"/>
      <c r="T38" s="693"/>
      <c r="U38" s="693"/>
      <c r="V38" s="693"/>
    </row>
    <row r="39" spans="2:22">
      <c r="B39" s="693"/>
      <c r="C39" s="693"/>
      <c r="D39" s="693"/>
      <c r="E39" s="693"/>
      <c r="F39" s="693"/>
      <c r="G39" s="693"/>
      <c r="H39" s="693"/>
      <c r="I39" s="693"/>
      <c r="J39" s="693"/>
      <c r="K39" s="693"/>
      <c r="L39" s="693"/>
      <c r="M39" s="694"/>
      <c r="N39" s="694"/>
      <c r="O39" s="693"/>
      <c r="P39" s="693"/>
      <c r="Q39" s="693"/>
      <c r="R39" s="693"/>
      <c r="S39" s="693"/>
      <c r="T39" s="693"/>
      <c r="U39" s="693"/>
      <c r="V39" s="693"/>
    </row>
    <row r="40" spans="2:22"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4"/>
      <c r="N40" s="694"/>
      <c r="O40" s="693"/>
      <c r="P40" s="693"/>
      <c r="Q40" s="693"/>
      <c r="R40" s="693"/>
      <c r="S40" s="693"/>
      <c r="T40" s="693"/>
      <c r="U40" s="693"/>
      <c r="V40" s="693"/>
    </row>
    <row r="41" spans="2:22">
      <c r="B41" s="693"/>
      <c r="C41" s="693"/>
      <c r="D41" s="693"/>
      <c r="E41" s="693"/>
      <c r="F41" s="693"/>
      <c r="G41" s="693"/>
      <c r="H41" s="693"/>
      <c r="I41" s="693"/>
      <c r="J41" s="693"/>
      <c r="K41" s="693"/>
      <c r="L41" s="693"/>
      <c r="M41" s="694"/>
      <c r="N41" s="694"/>
      <c r="O41" s="693"/>
      <c r="P41" s="693"/>
      <c r="Q41" s="693"/>
      <c r="R41" s="693"/>
      <c r="S41" s="693"/>
      <c r="T41" s="693"/>
      <c r="U41" s="693"/>
      <c r="V41" s="693"/>
    </row>
    <row r="42" spans="2:22">
      <c r="B42" s="693"/>
      <c r="C42" s="693"/>
      <c r="D42" s="693"/>
      <c r="E42" s="693"/>
      <c r="F42" s="693"/>
      <c r="G42" s="693"/>
      <c r="H42" s="693"/>
      <c r="I42" s="693"/>
      <c r="J42" s="693"/>
      <c r="K42" s="693"/>
      <c r="L42" s="693"/>
      <c r="M42" s="694"/>
      <c r="N42" s="694"/>
      <c r="O42" s="693"/>
      <c r="P42" s="693"/>
      <c r="Q42" s="693"/>
      <c r="R42" s="693"/>
      <c r="S42" s="693"/>
      <c r="T42" s="693"/>
      <c r="U42" s="693"/>
      <c r="V42" s="693"/>
    </row>
    <row r="43" spans="2:22">
      <c r="B43" s="693"/>
      <c r="C43" s="693"/>
      <c r="D43" s="693"/>
      <c r="E43" s="693"/>
      <c r="F43" s="693"/>
      <c r="G43" s="693"/>
      <c r="H43" s="693"/>
      <c r="I43" s="693"/>
      <c r="J43" s="693"/>
      <c r="K43" s="693"/>
      <c r="L43" s="693"/>
      <c r="M43" s="694"/>
      <c r="N43" s="694"/>
      <c r="O43" s="693"/>
      <c r="P43" s="693"/>
      <c r="Q43" s="693"/>
      <c r="R43" s="693"/>
      <c r="S43" s="693"/>
      <c r="T43" s="693"/>
      <c r="U43" s="693"/>
      <c r="V43" s="693"/>
    </row>
    <row r="44" spans="2:22">
      <c r="B44" s="693"/>
      <c r="C44" s="693"/>
      <c r="D44" s="693"/>
      <c r="E44" s="693"/>
      <c r="F44" s="693"/>
      <c r="G44" s="693"/>
      <c r="H44" s="693"/>
      <c r="I44" s="693"/>
      <c r="J44" s="693"/>
      <c r="K44" s="693"/>
      <c r="L44" s="693"/>
      <c r="M44" s="694"/>
      <c r="N44" s="694"/>
      <c r="O44" s="693"/>
      <c r="P44" s="693"/>
      <c r="Q44" s="693"/>
      <c r="R44" s="693"/>
      <c r="S44" s="693"/>
      <c r="T44" s="693"/>
      <c r="U44" s="693"/>
      <c r="V44" s="693"/>
    </row>
    <row r="45" spans="2:22">
      <c r="B45" s="693"/>
      <c r="C45" s="693"/>
      <c r="D45" s="693"/>
      <c r="E45" s="693"/>
      <c r="F45" s="693"/>
      <c r="G45" s="693"/>
      <c r="H45" s="693"/>
      <c r="I45" s="693"/>
      <c r="J45" s="693"/>
      <c r="K45" s="693"/>
      <c r="L45" s="693"/>
      <c r="M45" s="694"/>
      <c r="N45" s="694"/>
      <c r="O45" s="693"/>
      <c r="P45" s="693"/>
      <c r="Q45" s="693"/>
      <c r="R45" s="693"/>
      <c r="S45" s="693"/>
      <c r="T45" s="693"/>
      <c r="U45" s="693"/>
      <c r="V45" s="693"/>
    </row>
    <row r="46" spans="2:22">
      <c r="B46" s="693"/>
      <c r="C46" s="693"/>
      <c r="D46" s="693"/>
      <c r="E46" s="693"/>
      <c r="F46" s="693"/>
      <c r="G46" s="693"/>
      <c r="H46" s="693"/>
      <c r="I46" s="693"/>
      <c r="J46" s="693"/>
      <c r="K46" s="693"/>
      <c r="L46" s="693"/>
      <c r="M46" s="694"/>
      <c r="N46" s="694"/>
      <c r="O46" s="693"/>
      <c r="P46" s="693"/>
      <c r="Q46" s="693"/>
      <c r="R46" s="693"/>
      <c r="S46" s="693"/>
      <c r="T46" s="693"/>
      <c r="U46" s="693"/>
      <c r="V46" s="693"/>
    </row>
  </sheetData>
  <sheetProtection sheet="1" objects="1" scenarios="1"/>
  <mergeCells count="2">
    <mergeCell ref="N3:S3"/>
    <mergeCell ref="B3:M3"/>
  </mergeCells>
  <phoneticPr fontId="26" type="noConversion"/>
  <conditionalFormatting sqref="I1 A2:A1048576">
    <cfRule type="containsText" dxfId="0" priority="4" operator="containsText" text="CY">
      <formula>NOT(ISERROR(SEARCH("CY",A1)))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&amp;L&amp;A&amp;C&amp;D&amp;R&amp;P from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F4E9-66C8-48F9-8B3D-FC7F65492DAF}">
  <sheetPr>
    <tabColor rgb="FFB2A1C7"/>
    <outlinePr summaryBelow="0" summaryRight="0"/>
  </sheetPr>
  <dimension ref="A1:AE993"/>
  <sheetViews>
    <sheetView workbookViewId="0">
      <selection activeCell="B6" sqref="B6:E6"/>
    </sheetView>
  </sheetViews>
  <sheetFormatPr defaultColWidth="17.28515625" defaultRowHeight="15" customHeight="1"/>
  <cols>
    <col min="1" max="1" width="21.140625" style="544" customWidth="1"/>
    <col min="2" max="3" width="9.85546875" style="544" customWidth="1"/>
    <col min="4" max="4" width="9.42578125" style="544" customWidth="1"/>
    <col min="5" max="5" width="9.85546875" style="544" customWidth="1"/>
    <col min="6" max="6" width="10.28515625" style="544" customWidth="1"/>
    <col min="7" max="7" width="10.85546875" style="544" customWidth="1"/>
    <col min="8" max="8" width="4.7109375" style="544" customWidth="1"/>
    <col min="9" max="12" width="10.28515625" style="544" customWidth="1"/>
    <col min="13" max="14" width="9.28515625" style="544" customWidth="1"/>
    <col min="15" max="15" width="4.140625" style="544" customWidth="1"/>
    <col min="16" max="21" width="9.28515625" style="544" customWidth="1"/>
    <col min="22" max="22" width="4.28515625" style="544" customWidth="1"/>
    <col min="23" max="23" width="10.42578125" style="544" customWidth="1"/>
    <col min="24" max="27" width="9.28515625" style="544" customWidth="1"/>
    <col min="28" max="29" width="10.7109375" style="544" customWidth="1"/>
    <col min="30" max="30" width="12.28515625" style="544" customWidth="1"/>
    <col min="31" max="31" width="10.7109375" style="544" customWidth="1"/>
    <col min="32" max="35" width="8.7109375" style="544" customWidth="1"/>
    <col min="36" max="16384" width="17.28515625" style="544"/>
  </cols>
  <sheetData>
    <row r="1" spans="1:31" ht="17.25" customHeight="1">
      <c r="A1" s="863" t="str">
        <f>+Parameters!B7</f>
        <v>ABC Startup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Z1" s="545"/>
      <c r="AA1" s="545"/>
      <c r="AB1" s="545"/>
      <c r="AC1" s="545"/>
    </row>
    <row r="2" spans="1:31" ht="18" customHeight="1">
      <c r="A2" s="863" t="s">
        <v>399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Z2" s="545"/>
      <c r="AA2" s="545"/>
      <c r="AB2" s="545"/>
      <c r="AC2" s="545"/>
    </row>
    <row r="3" spans="1:31" ht="12.75" customHeight="1" thickBot="1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Z3" s="545"/>
      <c r="AA3" s="545"/>
      <c r="AB3" s="545"/>
      <c r="AC3" s="545"/>
    </row>
    <row r="4" spans="1:31" ht="19.5" thickBot="1">
      <c r="A4" s="546"/>
      <c r="B4" s="860" t="s">
        <v>417</v>
      </c>
      <c r="C4" s="861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Z4" s="545"/>
      <c r="AA4" s="545"/>
      <c r="AB4" s="545"/>
      <c r="AC4" s="545"/>
    </row>
    <row r="5" spans="1:31" ht="12.75" customHeight="1" thickBot="1">
      <c r="B5" s="862" t="s">
        <v>188</v>
      </c>
      <c r="C5" s="862"/>
      <c r="D5" s="862"/>
      <c r="E5" s="862"/>
      <c r="F5" s="862"/>
      <c r="G5" s="862"/>
      <c r="H5" s="547"/>
      <c r="I5" s="862" t="s">
        <v>332</v>
      </c>
      <c r="J5" s="862"/>
      <c r="K5" s="862"/>
      <c r="L5" s="862"/>
      <c r="M5" s="862"/>
      <c r="N5" s="862"/>
      <c r="O5" s="547"/>
      <c r="P5" s="862" t="s">
        <v>189</v>
      </c>
      <c r="Q5" s="862"/>
      <c r="R5" s="862"/>
      <c r="S5" s="862"/>
      <c r="T5" s="862"/>
      <c r="U5" s="862"/>
      <c r="V5" s="547"/>
      <c r="W5" s="548" t="s">
        <v>23</v>
      </c>
      <c r="X5" s="549"/>
      <c r="Y5" s="545"/>
      <c r="Z5" s="545"/>
      <c r="AA5" s="545"/>
      <c r="AB5" s="545"/>
      <c r="AC5" s="545"/>
    </row>
    <row r="6" spans="1:31" ht="28.5" customHeight="1">
      <c r="A6" s="549"/>
      <c r="B6" s="550" t="s">
        <v>400</v>
      </c>
      <c r="C6" s="550" t="s">
        <v>401</v>
      </c>
      <c r="D6" s="550" t="s">
        <v>402</v>
      </c>
      <c r="E6" s="550" t="s">
        <v>403</v>
      </c>
      <c r="F6" s="551" t="s">
        <v>413</v>
      </c>
      <c r="G6" s="551" t="s">
        <v>50</v>
      </c>
      <c r="H6" s="552"/>
      <c r="I6" s="550" t="s">
        <v>400</v>
      </c>
      <c r="J6" s="550" t="s">
        <v>401</v>
      </c>
      <c r="K6" s="550" t="s">
        <v>402</v>
      </c>
      <c r="L6" s="550" t="s">
        <v>403</v>
      </c>
      <c r="M6" s="551" t="s">
        <v>413</v>
      </c>
      <c r="N6" s="551" t="s">
        <v>50</v>
      </c>
      <c r="O6" s="552"/>
      <c r="P6" s="550" t="s">
        <v>400</v>
      </c>
      <c r="Q6" s="550" t="s">
        <v>401</v>
      </c>
      <c r="R6" s="550" t="s">
        <v>402</v>
      </c>
      <c r="S6" s="550" t="s">
        <v>403</v>
      </c>
      <c r="T6" s="551" t="s">
        <v>413</v>
      </c>
      <c r="U6" s="551" t="s">
        <v>50</v>
      </c>
      <c r="V6" s="552"/>
      <c r="W6" s="553" t="s">
        <v>50</v>
      </c>
      <c r="X6" s="545"/>
      <c r="Y6" s="554"/>
      <c r="Z6" s="554"/>
      <c r="AA6" s="545"/>
      <c r="AB6" s="545"/>
      <c r="AC6" s="545"/>
    </row>
    <row r="7" spans="1:31" ht="12.75" customHeight="1">
      <c r="A7" s="545" t="s">
        <v>411</v>
      </c>
      <c r="B7" s="574">
        <v>0</v>
      </c>
      <c r="C7" s="575">
        <v>10</v>
      </c>
      <c r="D7" s="575"/>
      <c r="E7" s="556">
        <f>+B7+C7+D7</f>
        <v>10</v>
      </c>
      <c r="F7" s="577">
        <v>200</v>
      </c>
      <c r="G7" s="558">
        <f>(+B7+C7+D7)*F7</f>
        <v>2000</v>
      </c>
      <c r="H7" s="559"/>
      <c r="I7" s="574">
        <v>0</v>
      </c>
      <c r="J7" s="575">
        <v>5</v>
      </c>
      <c r="K7" s="575"/>
      <c r="L7" s="556">
        <f>+I7+J7+K7</f>
        <v>5</v>
      </c>
      <c r="M7" s="577">
        <v>300</v>
      </c>
      <c r="N7" s="558">
        <f>(+I7+J7+K7)*M7</f>
        <v>1500</v>
      </c>
      <c r="O7" s="559"/>
      <c r="P7" s="574">
        <v>0</v>
      </c>
      <c r="Q7" s="575">
        <v>1</v>
      </c>
      <c r="R7" s="575"/>
      <c r="S7" s="556">
        <f>+P7+Q7+R7</f>
        <v>1</v>
      </c>
      <c r="T7" s="577">
        <v>600</v>
      </c>
      <c r="U7" s="558">
        <f>(+P7+Q7+R7)*T7</f>
        <v>600</v>
      </c>
      <c r="V7" s="559"/>
      <c r="W7" s="560">
        <f t="shared" ref="W7:W9" si="0">(+G7+N7+U7)*3</f>
        <v>12300</v>
      </c>
      <c r="X7" s="561"/>
      <c r="Y7" s="561"/>
      <c r="Z7" s="559"/>
      <c r="AA7" s="545"/>
      <c r="AB7" s="545"/>
      <c r="AC7" s="545"/>
    </row>
    <row r="8" spans="1:31" ht="12.75" customHeight="1">
      <c r="A8" s="545" t="s">
        <v>412</v>
      </c>
      <c r="B8" s="574">
        <v>0</v>
      </c>
      <c r="C8" s="576">
        <v>5</v>
      </c>
      <c r="D8" s="576"/>
      <c r="E8" s="556">
        <f t="shared" ref="E8:E9" si="1">+B8+C8+D8</f>
        <v>5</v>
      </c>
      <c r="F8" s="578">
        <v>30</v>
      </c>
      <c r="G8" s="558">
        <f t="shared" ref="G8:G9" si="2">(+B8+C8+D8)*F8</f>
        <v>150</v>
      </c>
      <c r="H8" s="559"/>
      <c r="I8" s="574">
        <v>0</v>
      </c>
      <c r="J8" s="576">
        <v>8</v>
      </c>
      <c r="K8" s="576"/>
      <c r="L8" s="556">
        <f t="shared" ref="L8:L9" si="3">+I8+J8+K8</f>
        <v>8</v>
      </c>
      <c r="M8" s="578">
        <v>50</v>
      </c>
      <c r="N8" s="558">
        <f t="shared" ref="N8:N9" si="4">(+I8+J8+K8)*M8</f>
        <v>400</v>
      </c>
      <c r="O8" s="559"/>
      <c r="P8" s="574">
        <v>0</v>
      </c>
      <c r="Q8" s="576"/>
      <c r="R8" s="576"/>
      <c r="S8" s="556">
        <f t="shared" ref="S8:S9" si="5">+P8+Q8+R8</f>
        <v>0</v>
      </c>
      <c r="T8" s="578">
        <v>100</v>
      </c>
      <c r="U8" s="558">
        <f t="shared" ref="U8:U9" si="6">(+P8+Q8+R8)*T8</f>
        <v>0</v>
      </c>
      <c r="V8" s="559"/>
      <c r="W8" s="560">
        <f t="shared" si="0"/>
        <v>1650</v>
      </c>
      <c r="X8" s="559"/>
      <c r="Y8" s="561"/>
      <c r="Z8" s="559"/>
      <c r="AA8" s="545"/>
      <c r="AB8" s="545"/>
      <c r="AC8" s="545"/>
    </row>
    <row r="9" spans="1:31" ht="12.75" customHeight="1">
      <c r="A9" s="545"/>
      <c r="B9" s="574">
        <v>0</v>
      </c>
      <c r="C9" s="575"/>
      <c r="D9" s="575"/>
      <c r="E9" s="556">
        <f t="shared" si="1"/>
        <v>0</v>
      </c>
      <c r="F9" s="578"/>
      <c r="G9" s="558">
        <f t="shared" si="2"/>
        <v>0</v>
      </c>
      <c r="H9" s="559"/>
      <c r="I9" s="574">
        <v>0</v>
      </c>
      <c r="J9" s="575"/>
      <c r="K9" s="575"/>
      <c r="L9" s="556">
        <f t="shared" si="3"/>
        <v>0</v>
      </c>
      <c r="M9" s="578"/>
      <c r="N9" s="558">
        <f t="shared" si="4"/>
        <v>0</v>
      </c>
      <c r="O9" s="559"/>
      <c r="P9" s="574">
        <v>0</v>
      </c>
      <c r="Q9" s="575"/>
      <c r="R9" s="575"/>
      <c r="S9" s="556">
        <f t="shared" si="5"/>
        <v>0</v>
      </c>
      <c r="T9" s="578"/>
      <c r="U9" s="558">
        <f t="shared" si="6"/>
        <v>0</v>
      </c>
      <c r="V9" s="559"/>
      <c r="W9" s="560">
        <f t="shared" si="0"/>
        <v>0</v>
      </c>
      <c r="X9" s="559"/>
      <c r="Y9" s="559"/>
      <c r="Z9" s="559"/>
      <c r="AA9" s="545"/>
      <c r="AB9" s="545"/>
      <c r="AC9" s="545"/>
    </row>
    <row r="10" spans="1:31" ht="12.75" customHeight="1">
      <c r="A10" s="545"/>
      <c r="B10" s="559"/>
      <c r="C10" s="559"/>
      <c r="D10" s="559"/>
      <c r="E10" s="559"/>
      <c r="F10" s="559"/>
      <c r="G10" s="562">
        <f>SUM(G7:G9)</f>
        <v>2150</v>
      </c>
      <c r="H10" s="559"/>
      <c r="I10" s="559"/>
      <c r="J10" s="559"/>
      <c r="K10" s="559"/>
      <c r="L10" s="559"/>
      <c r="M10" s="559"/>
      <c r="N10" s="562">
        <f>SUM(N7:N9)</f>
        <v>1900</v>
      </c>
      <c r="O10" s="559"/>
      <c r="P10" s="559"/>
      <c r="Q10" s="559"/>
      <c r="R10" s="559"/>
      <c r="S10" s="559"/>
      <c r="T10" s="559"/>
      <c r="U10" s="562">
        <f>SUM(U7:U9)</f>
        <v>600</v>
      </c>
      <c r="V10" s="559"/>
      <c r="W10" s="563">
        <f>SUM(W7:W9)</f>
        <v>13950</v>
      </c>
      <c r="X10" s="564">
        <f>+G10*3+N10*3+U10*3-W10</f>
        <v>0</v>
      </c>
      <c r="Y10" s="565"/>
      <c r="Z10" s="559"/>
      <c r="AA10" s="545"/>
      <c r="AB10" s="545"/>
      <c r="AC10" s="545"/>
    </row>
    <row r="11" spans="1:31" ht="12.75" customHeight="1" thickBot="1">
      <c r="A11" s="545"/>
      <c r="B11" s="559"/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45"/>
      <c r="AB11" s="545"/>
      <c r="AC11" s="545"/>
    </row>
    <row r="12" spans="1:31" ht="19.5" thickBot="1">
      <c r="A12" s="546"/>
      <c r="B12" s="860" t="s">
        <v>416</v>
      </c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61"/>
      <c r="N12" s="861"/>
      <c r="O12" s="861"/>
      <c r="P12" s="861"/>
      <c r="Q12" s="861"/>
      <c r="R12" s="861"/>
      <c r="S12" s="861"/>
      <c r="T12" s="861"/>
      <c r="U12" s="861"/>
      <c r="V12" s="861"/>
      <c r="W12" s="861"/>
      <c r="X12" s="561"/>
      <c r="Y12" s="561"/>
      <c r="Z12" s="559"/>
      <c r="AA12" s="545"/>
      <c r="AB12" s="566"/>
      <c r="AC12" s="566"/>
      <c r="AD12" s="566"/>
      <c r="AE12" s="567"/>
    </row>
    <row r="13" spans="1:31" ht="12.75" customHeight="1" thickBot="1">
      <c r="B13" s="862" t="s">
        <v>188</v>
      </c>
      <c r="C13" s="862"/>
      <c r="D13" s="862"/>
      <c r="E13" s="862"/>
      <c r="F13" s="862"/>
      <c r="G13" s="862"/>
      <c r="H13" s="547"/>
      <c r="I13" s="862" t="s">
        <v>332</v>
      </c>
      <c r="J13" s="862"/>
      <c r="K13" s="862"/>
      <c r="L13" s="862"/>
      <c r="M13" s="862"/>
      <c r="N13" s="862"/>
      <c r="O13" s="547"/>
      <c r="P13" s="862" t="s">
        <v>189</v>
      </c>
      <c r="Q13" s="862"/>
      <c r="R13" s="862"/>
      <c r="S13" s="862"/>
      <c r="T13" s="862"/>
      <c r="U13" s="862"/>
      <c r="V13" s="547"/>
      <c r="W13" s="548" t="s">
        <v>23</v>
      </c>
      <c r="X13" s="559"/>
      <c r="Y13" s="559"/>
      <c r="Z13" s="559"/>
      <c r="AA13" s="545"/>
      <c r="AB13" s="566"/>
      <c r="AC13" s="566"/>
      <c r="AD13" s="566"/>
      <c r="AE13" s="567"/>
    </row>
    <row r="14" spans="1:31" ht="28.5" customHeight="1">
      <c r="A14" s="549"/>
      <c r="B14" s="550" t="s">
        <v>400</v>
      </c>
      <c r="C14" s="550" t="s">
        <v>401</v>
      </c>
      <c r="D14" s="550" t="s">
        <v>402</v>
      </c>
      <c r="E14" s="550" t="s">
        <v>403</v>
      </c>
      <c r="F14" s="551" t="s">
        <v>413</v>
      </c>
      <c r="G14" s="551" t="s">
        <v>50</v>
      </c>
      <c r="H14" s="552"/>
      <c r="I14" s="550" t="s">
        <v>400</v>
      </c>
      <c r="J14" s="550" t="s">
        <v>401</v>
      </c>
      <c r="K14" s="550" t="s">
        <v>402</v>
      </c>
      <c r="L14" s="550" t="s">
        <v>403</v>
      </c>
      <c r="M14" s="551" t="s">
        <v>413</v>
      </c>
      <c r="N14" s="551" t="s">
        <v>50</v>
      </c>
      <c r="O14" s="552"/>
      <c r="P14" s="550" t="s">
        <v>400</v>
      </c>
      <c r="Q14" s="550" t="s">
        <v>401</v>
      </c>
      <c r="R14" s="550" t="s">
        <v>402</v>
      </c>
      <c r="S14" s="550" t="s">
        <v>403</v>
      </c>
      <c r="T14" s="551" t="s">
        <v>413</v>
      </c>
      <c r="U14" s="551" t="s">
        <v>50</v>
      </c>
      <c r="V14" s="552"/>
      <c r="W14" s="553" t="s">
        <v>50</v>
      </c>
      <c r="X14" s="559"/>
      <c r="Y14" s="559"/>
      <c r="Z14" s="559"/>
      <c r="AA14" s="545"/>
      <c r="AB14" s="545"/>
      <c r="AC14" s="545"/>
    </row>
    <row r="15" spans="1:31" ht="12.75" customHeight="1">
      <c r="A15" s="545" t="s">
        <v>411</v>
      </c>
      <c r="B15" s="574">
        <f>+E7</f>
        <v>10</v>
      </c>
      <c r="C15" s="575">
        <v>20</v>
      </c>
      <c r="D15" s="575">
        <v>-3</v>
      </c>
      <c r="E15" s="556">
        <f>+B15+C15+D15</f>
        <v>27</v>
      </c>
      <c r="F15" s="577">
        <f>+F7</f>
        <v>200</v>
      </c>
      <c r="G15" s="558">
        <f>(+B15+C15+D15)*F15</f>
        <v>5400</v>
      </c>
      <c r="H15" s="559"/>
      <c r="I15" s="574">
        <f>+L7</f>
        <v>5</v>
      </c>
      <c r="J15" s="575">
        <v>10</v>
      </c>
      <c r="K15" s="575"/>
      <c r="L15" s="556">
        <f>+I15+J15+K15</f>
        <v>15</v>
      </c>
      <c r="M15" s="577">
        <f>+M7</f>
        <v>300</v>
      </c>
      <c r="N15" s="558">
        <f>(+I15+J15+K15)*M15</f>
        <v>4500</v>
      </c>
      <c r="O15" s="559"/>
      <c r="P15" s="574">
        <f>+S7</f>
        <v>1</v>
      </c>
      <c r="Q15" s="575">
        <v>3</v>
      </c>
      <c r="R15" s="575">
        <v>1</v>
      </c>
      <c r="S15" s="556">
        <f>+P15+Q15+R15</f>
        <v>5</v>
      </c>
      <c r="T15" s="577">
        <f>+T7</f>
        <v>600</v>
      </c>
      <c r="U15" s="558">
        <f>(+P15+Q15+R15)*T15</f>
        <v>3000</v>
      </c>
      <c r="V15" s="559"/>
      <c r="W15" s="560">
        <f t="shared" ref="W15:W17" si="7">(+G15+N15+U15)*3</f>
        <v>38700</v>
      </c>
      <c r="X15" s="559"/>
      <c r="Y15" s="559"/>
      <c r="Z15" s="559"/>
      <c r="AA15" s="545"/>
      <c r="AB15" s="545"/>
      <c r="AC15" s="545"/>
    </row>
    <row r="16" spans="1:31" ht="12.75" customHeight="1">
      <c r="A16" s="545" t="s">
        <v>412</v>
      </c>
      <c r="B16" s="574">
        <f>+E8</f>
        <v>5</v>
      </c>
      <c r="C16" s="576">
        <v>10</v>
      </c>
      <c r="D16" s="576"/>
      <c r="E16" s="556">
        <f t="shared" ref="E16:E17" si="8">+B16+C16+D16</f>
        <v>15</v>
      </c>
      <c r="F16" s="578">
        <f>+F8</f>
        <v>30</v>
      </c>
      <c r="G16" s="558">
        <f t="shared" ref="G16:G17" si="9">(+B16+C16+D16)*F16</f>
        <v>450</v>
      </c>
      <c r="H16" s="559"/>
      <c r="I16" s="574">
        <f>+L8</f>
        <v>8</v>
      </c>
      <c r="J16" s="576">
        <v>16</v>
      </c>
      <c r="K16" s="576"/>
      <c r="L16" s="556">
        <f t="shared" ref="L16:L17" si="10">+I16+J16+K16</f>
        <v>24</v>
      </c>
      <c r="M16" s="578">
        <v>50</v>
      </c>
      <c r="N16" s="558">
        <f t="shared" ref="N16:N17" si="11">(+I16+J16+K16)*M16</f>
        <v>1200</v>
      </c>
      <c r="O16" s="559"/>
      <c r="P16" s="574">
        <f>+S8</f>
        <v>0</v>
      </c>
      <c r="Q16" s="576">
        <v>1</v>
      </c>
      <c r="R16" s="576"/>
      <c r="S16" s="556">
        <f t="shared" ref="S16:S17" si="12">+P16+Q16+R16</f>
        <v>1</v>
      </c>
      <c r="T16" s="578">
        <f>+T8</f>
        <v>100</v>
      </c>
      <c r="U16" s="558">
        <f t="shared" ref="U16:U17" si="13">(+P16+Q16+R16)*T16</f>
        <v>100</v>
      </c>
      <c r="V16" s="559"/>
      <c r="W16" s="560">
        <f t="shared" si="7"/>
        <v>5250</v>
      </c>
      <c r="X16" s="559"/>
      <c r="Y16" s="559"/>
      <c r="Z16" s="559"/>
      <c r="AA16" s="545"/>
      <c r="AB16" s="545"/>
      <c r="AC16" s="545"/>
    </row>
    <row r="17" spans="1:29" ht="12.75" customHeight="1">
      <c r="A17" s="545"/>
      <c r="B17" s="574">
        <f>+E9</f>
        <v>0</v>
      </c>
      <c r="C17" s="575"/>
      <c r="D17" s="575"/>
      <c r="E17" s="556">
        <f t="shared" si="8"/>
        <v>0</v>
      </c>
      <c r="F17" s="578">
        <f>+F9</f>
        <v>0</v>
      </c>
      <c r="G17" s="558">
        <f t="shared" si="9"/>
        <v>0</v>
      </c>
      <c r="H17" s="559"/>
      <c r="I17" s="574">
        <f>+L9</f>
        <v>0</v>
      </c>
      <c r="J17" s="575"/>
      <c r="K17" s="575"/>
      <c r="L17" s="556">
        <f t="shared" si="10"/>
        <v>0</v>
      </c>
      <c r="M17" s="578">
        <f>+M9</f>
        <v>0</v>
      </c>
      <c r="N17" s="558">
        <f t="shared" si="11"/>
        <v>0</v>
      </c>
      <c r="O17" s="559"/>
      <c r="P17" s="574">
        <f>+S9</f>
        <v>0</v>
      </c>
      <c r="Q17" s="575"/>
      <c r="R17" s="575"/>
      <c r="S17" s="556">
        <f t="shared" si="12"/>
        <v>0</v>
      </c>
      <c r="T17" s="578">
        <f>+T9</f>
        <v>0</v>
      </c>
      <c r="U17" s="558">
        <f t="shared" si="13"/>
        <v>0</v>
      </c>
      <c r="V17" s="559"/>
      <c r="W17" s="560">
        <f t="shared" si="7"/>
        <v>0</v>
      </c>
      <c r="X17" s="545"/>
      <c r="Y17" s="545"/>
      <c r="Z17" s="554"/>
      <c r="AA17" s="554"/>
      <c r="AB17" s="554"/>
      <c r="AC17" s="554"/>
    </row>
    <row r="18" spans="1:29" ht="12.75" customHeight="1">
      <c r="A18" s="545"/>
      <c r="B18" s="559"/>
      <c r="C18" s="559"/>
      <c r="D18" s="559"/>
      <c r="E18" s="559"/>
      <c r="F18" s="559"/>
      <c r="G18" s="562">
        <f>SUM(G15:G17)</f>
        <v>5850</v>
      </c>
      <c r="H18" s="559"/>
      <c r="I18" s="559"/>
      <c r="J18" s="559"/>
      <c r="K18" s="559"/>
      <c r="L18" s="559"/>
      <c r="M18" s="559"/>
      <c r="N18" s="562">
        <f>SUM(N15:N17)</f>
        <v>5700</v>
      </c>
      <c r="O18" s="559"/>
      <c r="P18" s="559"/>
      <c r="Q18" s="559"/>
      <c r="R18" s="559"/>
      <c r="S18" s="559"/>
      <c r="T18" s="559"/>
      <c r="U18" s="562">
        <f>SUM(U15:U17)</f>
        <v>3100</v>
      </c>
      <c r="V18" s="559"/>
      <c r="W18" s="563">
        <f>SUM(W15:W17)</f>
        <v>43950</v>
      </c>
      <c r="X18" s="564">
        <f>+G18*3+N18*3+U18*3-W18</f>
        <v>0</v>
      </c>
      <c r="Y18" s="565"/>
      <c r="Z18" s="545"/>
      <c r="AA18" s="545"/>
      <c r="AB18" s="545"/>
      <c r="AC18" s="545"/>
    </row>
    <row r="19" spans="1:29" ht="12.75" customHeight="1" thickBot="1">
      <c r="A19" s="545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</row>
    <row r="20" spans="1:29" ht="19.5" thickBot="1">
      <c r="A20" s="546"/>
      <c r="B20" s="860" t="s">
        <v>415</v>
      </c>
      <c r="C20" s="861"/>
      <c r="D20" s="861"/>
      <c r="E20" s="861"/>
      <c r="F20" s="861"/>
      <c r="G20" s="861"/>
      <c r="H20" s="861"/>
      <c r="I20" s="861"/>
      <c r="J20" s="861"/>
      <c r="K20" s="861"/>
      <c r="L20" s="861"/>
      <c r="M20" s="861"/>
      <c r="N20" s="861"/>
      <c r="O20" s="861"/>
      <c r="P20" s="861"/>
      <c r="Q20" s="861"/>
      <c r="R20" s="861"/>
      <c r="S20" s="861"/>
      <c r="T20" s="861"/>
      <c r="U20" s="861"/>
      <c r="V20" s="861"/>
      <c r="W20" s="861"/>
      <c r="X20" s="545"/>
      <c r="Y20" s="545"/>
      <c r="Z20" s="545"/>
      <c r="AA20" s="545"/>
      <c r="AB20" s="545"/>
      <c r="AC20" s="545"/>
    </row>
    <row r="21" spans="1:29" ht="12.75" customHeight="1" thickBot="1">
      <c r="B21" s="862" t="s">
        <v>188</v>
      </c>
      <c r="C21" s="862"/>
      <c r="D21" s="862"/>
      <c r="E21" s="862"/>
      <c r="F21" s="862"/>
      <c r="G21" s="862"/>
      <c r="H21" s="547"/>
      <c r="I21" s="862" t="s">
        <v>332</v>
      </c>
      <c r="J21" s="862"/>
      <c r="K21" s="862"/>
      <c r="L21" s="862"/>
      <c r="M21" s="862"/>
      <c r="N21" s="862"/>
      <c r="O21" s="547"/>
      <c r="P21" s="862" t="s">
        <v>189</v>
      </c>
      <c r="Q21" s="862"/>
      <c r="R21" s="862"/>
      <c r="S21" s="862"/>
      <c r="T21" s="862"/>
      <c r="U21" s="862"/>
      <c r="V21" s="547"/>
      <c r="W21" s="548" t="s">
        <v>23</v>
      </c>
      <c r="X21" s="545"/>
      <c r="Y21" s="545"/>
      <c r="Z21" s="545"/>
      <c r="AA21" s="545"/>
      <c r="AB21" s="545"/>
      <c r="AC21" s="545"/>
    </row>
    <row r="22" spans="1:29" ht="30.75" customHeight="1">
      <c r="A22" s="549"/>
      <c r="B22" s="550" t="s">
        <v>400</v>
      </c>
      <c r="C22" s="550" t="s">
        <v>401</v>
      </c>
      <c r="D22" s="550" t="s">
        <v>402</v>
      </c>
      <c r="E22" s="550" t="s">
        <v>403</v>
      </c>
      <c r="F22" s="551" t="s">
        <v>413</v>
      </c>
      <c r="G22" s="551" t="s">
        <v>50</v>
      </c>
      <c r="H22" s="552"/>
      <c r="I22" s="550" t="s">
        <v>400</v>
      </c>
      <c r="J22" s="550" t="s">
        <v>401</v>
      </c>
      <c r="K22" s="550" t="s">
        <v>402</v>
      </c>
      <c r="L22" s="550" t="s">
        <v>403</v>
      </c>
      <c r="M22" s="551" t="s">
        <v>413</v>
      </c>
      <c r="N22" s="551" t="s">
        <v>50</v>
      </c>
      <c r="O22" s="552"/>
      <c r="P22" s="550" t="s">
        <v>400</v>
      </c>
      <c r="Q22" s="550" t="s">
        <v>401</v>
      </c>
      <c r="R22" s="550" t="s">
        <v>402</v>
      </c>
      <c r="S22" s="550" t="s">
        <v>403</v>
      </c>
      <c r="T22" s="551" t="s">
        <v>413</v>
      </c>
      <c r="U22" s="551" t="s">
        <v>50</v>
      </c>
      <c r="V22" s="552"/>
      <c r="W22" s="553" t="s">
        <v>50</v>
      </c>
      <c r="X22" s="547"/>
      <c r="Y22" s="547"/>
      <c r="Z22" s="547"/>
      <c r="AA22" s="547"/>
      <c r="AB22" s="547"/>
      <c r="AC22" s="547"/>
    </row>
    <row r="23" spans="1:29" ht="12.75" customHeight="1">
      <c r="A23" s="545" t="s">
        <v>411</v>
      </c>
      <c r="B23" s="574">
        <f>+E15</f>
        <v>27</v>
      </c>
      <c r="C23" s="575">
        <v>30</v>
      </c>
      <c r="D23" s="575">
        <v>-3</v>
      </c>
      <c r="E23" s="556">
        <f>+B23+C23+D23</f>
        <v>54</v>
      </c>
      <c r="F23" s="577">
        <f>+F15</f>
        <v>200</v>
      </c>
      <c r="G23" s="558">
        <f>(+B23+C23+D23)*F23</f>
        <v>10800</v>
      </c>
      <c r="H23" s="559"/>
      <c r="I23" s="574">
        <f>+L15</f>
        <v>15</v>
      </c>
      <c r="J23" s="575">
        <v>15</v>
      </c>
      <c r="K23" s="575">
        <v>-3</v>
      </c>
      <c r="L23" s="556">
        <f>+I23+J23+K23</f>
        <v>27</v>
      </c>
      <c r="M23" s="577">
        <f>+M15</f>
        <v>300</v>
      </c>
      <c r="N23" s="558">
        <f>(+I23+J23+K23)*M23</f>
        <v>8100</v>
      </c>
      <c r="O23" s="559"/>
      <c r="P23" s="574">
        <f>+S15</f>
        <v>5</v>
      </c>
      <c r="Q23" s="575">
        <v>5</v>
      </c>
      <c r="R23" s="575"/>
      <c r="S23" s="556">
        <f>+P23+Q23+R23</f>
        <v>10</v>
      </c>
      <c r="T23" s="577">
        <f>+T15</f>
        <v>600</v>
      </c>
      <c r="U23" s="558">
        <f>(+P23+Q23+R23)*T23</f>
        <v>6000</v>
      </c>
      <c r="V23" s="559"/>
      <c r="W23" s="560">
        <f t="shared" ref="W23:W25" si="14">(+G23+N23+U23)*3</f>
        <v>74700</v>
      </c>
      <c r="X23" s="545"/>
      <c r="Y23" s="545"/>
      <c r="Z23" s="545"/>
      <c r="AA23" s="545"/>
      <c r="AB23" s="545"/>
      <c r="AC23" s="545"/>
    </row>
    <row r="24" spans="1:29" ht="12.75" customHeight="1">
      <c r="A24" s="545" t="s">
        <v>412</v>
      </c>
      <c r="B24" s="574">
        <f>+E16</f>
        <v>15</v>
      </c>
      <c r="C24" s="576">
        <v>25</v>
      </c>
      <c r="D24" s="576">
        <v>-2</v>
      </c>
      <c r="E24" s="556">
        <f t="shared" ref="E24:E25" si="15">+B24+C24+D24</f>
        <v>38</v>
      </c>
      <c r="F24" s="578">
        <f>+F8</f>
        <v>30</v>
      </c>
      <c r="G24" s="558">
        <f t="shared" ref="G24:G25" si="16">(+B24+C24+D24)*F24</f>
        <v>1140</v>
      </c>
      <c r="H24" s="559"/>
      <c r="I24" s="574">
        <f>+L16</f>
        <v>24</v>
      </c>
      <c r="J24" s="576">
        <v>20</v>
      </c>
      <c r="K24" s="576">
        <v>-1</v>
      </c>
      <c r="L24" s="556">
        <f t="shared" ref="L24:L25" si="17">+I24+J24+K24</f>
        <v>43</v>
      </c>
      <c r="M24" s="578">
        <f>+M8</f>
        <v>50</v>
      </c>
      <c r="N24" s="558">
        <f t="shared" ref="N24:N25" si="18">(+I24+J24+K24)*M24</f>
        <v>2150</v>
      </c>
      <c r="O24" s="559"/>
      <c r="P24" s="574">
        <f>+S16</f>
        <v>1</v>
      </c>
      <c r="Q24" s="576">
        <v>3</v>
      </c>
      <c r="R24" s="576">
        <v>-1</v>
      </c>
      <c r="S24" s="556">
        <f t="shared" ref="S24:S25" si="19">+P24+Q24+R24</f>
        <v>3</v>
      </c>
      <c r="T24" s="578">
        <f>+T8</f>
        <v>100</v>
      </c>
      <c r="U24" s="558">
        <f t="shared" ref="U24:U25" si="20">(+P24+Q24+R24)*T24</f>
        <v>300</v>
      </c>
      <c r="V24" s="559"/>
      <c r="W24" s="560">
        <f t="shared" si="14"/>
        <v>10770</v>
      </c>
      <c r="X24" s="545"/>
      <c r="Y24" s="545"/>
      <c r="Z24" s="554"/>
      <c r="AA24" s="554"/>
      <c r="AB24" s="554"/>
      <c r="AC24" s="554"/>
    </row>
    <row r="25" spans="1:29" ht="12.75" customHeight="1">
      <c r="A25" s="545"/>
      <c r="B25" s="574">
        <f>+E17</f>
        <v>0</v>
      </c>
      <c r="C25" s="575"/>
      <c r="D25" s="575"/>
      <c r="E25" s="556">
        <f t="shared" si="15"/>
        <v>0</v>
      </c>
      <c r="F25" s="578">
        <f>+F9</f>
        <v>0</v>
      </c>
      <c r="G25" s="558">
        <f t="shared" si="16"/>
        <v>0</v>
      </c>
      <c r="H25" s="559"/>
      <c r="I25" s="574">
        <f>+L17</f>
        <v>0</v>
      </c>
      <c r="J25" s="575"/>
      <c r="K25" s="575"/>
      <c r="L25" s="556">
        <f t="shared" si="17"/>
        <v>0</v>
      </c>
      <c r="M25" s="578">
        <f>+M9</f>
        <v>0</v>
      </c>
      <c r="N25" s="558">
        <f t="shared" si="18"/>
        <v>0</v>
      </c>
      <c r="O25" s="559"/>
      <c r="P25" s="574">
        <f>+S17</f>
        <v>0</v>
      </c>
      <c r="Q25" s="575"/>
      <c r="R25" s="575"/>
      <c r="S25" s="556">
        <f t="shared" si="19"/>
        <v>0</v>
      </c>
      <c r="T25" s="578">
        <f>+T9</f>
        <v>0</v>
      </c>
      <c r="U25" s="558">
        <f t="shared" si="20"/>
        <v>0</v>
      </c>
      <c r="V25" s="559"/>
      <c r="W25" s="560">
        <f t="shared" si="14"/>
        <v>0</v>
      </c>
      <c r="X25" s="545"/>
      <c r="Y25" s="545"/>
      <c r="Z25" s="569"/>
      <c r="AA25" s="569"/>
      <c r="AB25" s="569"/>
      <c r="AC25" s="569"/>
    </row>
    <row r="26" spans="1:29" ht="12.75" customHeight="1">
      <c r="A26" s="545"/>
      <c r="B26" s="559"/>
      <c r="C26" s="559"/>
      <c r="D26" s="559"/>
      <c r="E26" s="559"/>
      <c r="F26" s="559"/>
      <c r="G26" s="562">
        <f>SUM(G23:G25)</f>
        <v>11940</v>
      </c>
      <c r="H26" s="559"/>
      <c r="I26" s="559"/>
      <c r="J26" s="559"/>
      <c r="K26" s="559"/>
      <c r="L26" s="559"/>
      <c r="M26" s="559"/>
      <c r="N26" s="562">
        <f>SUM(N23:N25)</f>
        <v>10250</v>
      </c>
      <c r="O26" s="559"/>
      <c r="P26" s="559"/>
      <c r="Q26" s="559"/>
      <c r="R26" s="559"/>
      <c r="S26" s="559"/>
      <c r="T26" s="559"/>
      <c r="U26" s="562">
        <f>SUM(U23:U25)</f>
        <v>6300</v>
      </c>
      <c r="V26" s="559"/>
      <c r="W26" s="563">
        <f>SUM(W23:W25)</f>
        <v>85470</v>
      </c>
      <c r="X26" s="564">
        <f>+G26*3+N26*3+U26*3-W26</f>
        <v>0</v>
      </c>
      <c r="Y26" s="565"/>
      <c r="Z26" s="569"/>
      <c r="AA26" s="569"/>
      <c r="AB26" s="569"/>
      <c r="AC26" s="569"/>
    </row>
    <row r="27" spans="1:29" ht="12.75" customHeight="1" thickBot="1">
      <c r="A27" s="545"/>
      <c r="B27" s="545"/>
      <c r="C27" s="545"/>
      <c r="D27" s="545"/>
      <c r="E27" s="545"/>
      <c r="F27" s="569"/>
      <c r="G27" s="569"/>
      <c r="H27" s="569"/>
      <c r="I27" s="569"/>
      <c r="J27" s="569"/>
      <c r="K27" s="569"/>
      <c r="L27" s="569"/>
      <c r="M27" s="545"/>
      <c r="N27" s="545"/>
      <c r="O27" s="545"/>
      <c r="P27" s="569"/>
      <c r="Q27" s="569"/>
      <c r="R27" s="569"/>
      <c r="S27" s="569"/>
      <c r="T27" s="569"/>
      <c r="U27" s="569"/>
      <c r="V27" s="569"/>
      <c r="W27" s="545"/>
      <c r="X27" s="545"/>
      <c r="Y27" s="545"/>
      <c r="Z27" s="569"/>
      <c r="AA27" s="569"/>
      <c r="AB27" s="569"/>
      <c r="AC27" s="569"/>
    </row>
    <row r="28" spans="1:29" ht="19.5" thickBot="1">
      <c r="A28" s="546"/>
      <c r="B28" s="860" t="s">
        <v>414</v>
      </c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61"/>
      <c r="N28" s="861"/>
      <c r="O28" s="861"/>
      <c r="P28" s="861"/>
      <c r="Q28" s="861"/>
      <c r="R28" s="861"/>
      <c r="S28" s="861"/>
      <c r="T28" s="861"/>
      <c r="U28" s="861"/>
      <c r="V28" s="861"/>
      <c r="W28" s="861"/>
      <c r="X28" s="547"/>
      <c r="Y28" s="547"/>
      <c r="Z28" s="547"/>
      <c r="AA28" s="547"/>
      <c r="AB28" s="547"/>
      <c r="AC28" s="547"/>
    </row>
    <row r="29" spans="1:29" ht="12.75" customHeight="1" thickBot="1">
      <c r="B29" s="862" t="s">
        <v>188</v>
      </c>
      <c r="C29" s="862"/>
      <c r="D29" s="862"/>
      <c r="E29" s="862"/>
      <c r="F29" s="862"/>
      <c r="G29" s="862"/>
      <c r="H29" s="547"/>
      <c r="I29" s="862" t="s">
        <v>332</v>
      </c>
      <c r="J29" s="862"/>
      <c r="K29" s="862"/>
      <c r="L29" s="862"/>
      <c r="M29" s="862"/>
      <c r="N29" s="862"/>
      <c r="O29" s="547"/>
      <c r="P29" s="862" t="s">
        <v>189</v>
      </c>
      <c r="Q29" s="862"/>
      <c r="R29" s="862"/>
      <c r="S29" s="862"/>
      <c r="T29" s="862"/>
      <c r="U29" s="862"/>
      <c r="V29" s="547"/>
      <c r="W29" s="548" t="s">
        <v>23</v>
      </c>
      <c r="X29" s="545"/>
      <c r="Y29" s="545"/>
      <c r="Z29" s="554"/>
      <c r="AA29" s="554"/>
      <c r="AB29" s="554"/>
      <c r="AC29" s="554"/>
    </row>
    <row r="30" spans="1:29" ht="26.25" customHeight="1">
      <c r="A30" s="549"/>
      <c r="B30" s="550" t="s">
        <v>400</v>
      </c>
      <c r="C30" s="550" t="s">
        <v>401</v>
      </c>
      <c r="D30" s="550" t="s">
        <v>402</v>
      </c>
      <c r="E30" s="550" t="s">
        <v>403</v>
      </c>
      <c r="F30" s="551" t="s">
        <v>413</v>
      </c>
      <c r="G30" s="551" t="s">
        <v>50</v>
      </c>
      <c r="H30" s="552"/>
      <c r="I30" s="550" t="s">
        <v>400</v>
      </c>
      <c r="J30" s="550" t="s">
        <v>401</v>
      </c>
      <c r="K30" s="550" t="s">
        <v>402</v>
      </c>
      <c r="L30" s="550" t="s">
        <v>403</v>
      </c>
      <c r="M30" s="551" t="s">
        <v>413</v>
      </c>
      <c r="N30" s="551" t="s">
        <v>50</v>
      </c>
      <c r="O30" s="552"/>
      <c r="P30" s="550" t="s">
        <v>400</v>
      </c>
      <c r="Q30" s="550" t="s">
        <v>401</v>
      </c>
      <c r="R30" s="550" t="s">
        <v>402</v>
      </c>
      <c r="S30" s="550" t="s">
        <v>403</v>
      </c>
      <c r="T30" s="551" t="s">
        <v>413</v>
      </c>
      <c r="U30" s="551" t="s">
        <v>50</v>
      </c>
      <c r="V30" s="552"/>
      <c r="W30" s="553" t="s">
        <v>50</v>
      </c>
      <c r="X30" s="568"/>
      <c r="Y30" s="568"/>
      <c r="Z30" s="545"/>
      <c r="AA30" s="545"/>
      <c r="AB30" s="545"/>
      <c r="AC30" s="545"/>
    </row>
    <row r="31" spans="1:29" ht="12.75" customHeight="1">
      <c r="A31" s="545" t="s">
        <v>411</v>
      </c>
      <c r="B31" s="574">
        <f>+E23</f>
        <v>54</v>
      </c>
      <c r="C31" s="575">
        <v>60</v>
      </c>
      <c r="D31" s="575">
        <v>-6</v>
      </c>
      <c r="E31" s="556">
        <f>+B31+C31+D31</f>
        <v>108</v>
      </c>
      <c r="F31" s="577">
        <f>+F7</f>
        <v>200</v>
      </c>
      <c r="G31" s="558">
        <f>(+B31+C31+D31)*F31</f>
        <v>21600</v>
      </c>
      <c r="H31" s="559"/>
      <c r="I31" s="574">
        <f>+L23</f>
        <v>27</v>
      </c>
      <c r="J31" s="575">
        <v>25</v>
      </c>
      <c r="K31" s="575">
        <v>-6</v>
      </c>
      <c r="L31" s="556">
        <f>+I31+J31+K31</f>
        <v>46</v>
      </c>
      <c r="M31" s="577">
        <f>+M7</f>
        <v>300</v>
      </c>
      <c r="N31" s="558">
        <f>(+I31+J31+K31)*M31</f>
        <v>13800</v>
      </c>
      <c r="O31" s="559"/>
      <c r="P31" s="574">
        <f>+S23</f>
        <v>10</v>
      </c>
      <c r="Q31" s="575">
        <v>6</v>
      </c>
      <c r="R31" s="575">
        <v>-1</v>
      </c>
      <c r="S31" s="556">
        <f>+P31+Q31+R31</f>
        <v>15</v>
      </c>
      <c r="T31" s="577">
        <f>+T7</f>
        <v>600</v>
      </c>
      <c r="U31" s="558">
        <f>(+P31+Q31+R31)*T31</f>
        <v>9000</v>
      </c>
      <c r="V31" s="559"/>
      <c r="W31" s="560">
        <f t="shared" ref="W31:W33" si="21">(+G31+N31+U31)*3</f>
        <v>133200</v>
      </c>
      <c r="X31" s="545"/>
      <c r="Y31" s="545"/>
      <c r="Z31" s="570"/>
      <c r="AA31" s="570"/>
      <c r="AB31" s="570"/>
      <c r="AC31" s="570"/>
    </row>
    <row r="32" spans="1:29" ht="12.75" customHeight="1">
      <c r="A32" s="545" t="s">
        <v>412</v>
      </c>
      <c r="B32" s="574">
        <f>+E24</f>
        <v>38</v>
      </c>
      <c r="C32" s="576">
        <v>50</v>
      </c>
      <c r="D32" s="576">
        <v>-5</v>
      </c>
      <c r="E32" s="556">
        <f t="shared" ref="E32:E33" si="22">+B32+C32+D32</f>
        <v>83</v>
      </c>
      <c r="F32" s="578">
        <f>+F8</f>
        <v>30</v>
      </c>
      <c r="G32" s="558">
        <f t="shared" ref="G32:G33" si="23">(+B32+C32+D32)*F32</f>
        <v>2490</v>
      </c>
      <c r="H32" s="559"/>
      <c r="I32" s="574">
        <f>+L24</f>
        <v>43</v>
      </c>
      <c r="J32" s="576">
        <v>32</v>
      </c>
      <c r="K32" s="576">
        <v>-2</v>
      </c>
      <c r="L32" s="556">
        <f t="shared" ref="L32:L33" si="24">+I32+J32+K32</f>
        <v>73</v>
      </c>
      <c r="M32" s="578">
        <f>+M8</f>
        <v>50</v>
      </c>
      <c r="N32" s="558">
        <f t="shared" ref="N32:N33" si="25">(+I32+J32+K32)*M32</f>
        <v>3650</v>
      </c>
      <c r="O32" s="559"/>
      <c r="P32" s="574">
        <f>+S24</f>
        <v>3</v>
      </c>
      <c r="Q32" s="576">
        <v>3</v>
      </c>
      <c r="R32" s="576"/>
      <c r="S32" s="556">
        <f t="shared" ref="S32:S33" si="26">+P32+Q32+R32</f>
        <v>6</v>
      </c>
      <c r="T32" s="578">
        <f>+T8</f>
        <v>100</v>
      </c>
      <c r="U32" s="558">
        <f t="shared" ref="U32:U33" si="27">(+P32+Q32+R32)*T32</f>
        <v>600</v>
      </c>
      <c r="V32" s="559"/>
      <c r="W32" s="560">
        <f t="shared" si="21"/>
        <v>20220</v>
      </c>
      <c r="X32" s="545"/>
      <c r="Y32" s="545"/>
      <c r="Z32" s="570"/>
      <c r="AA32" s="570"/>
      <c r="AB32" s="570"/>
      <c r="AC32" s="570"/>
    </row>
    <row r="33" spans="1:29" ht="12.75" customHeight="1">
      <c r="A33" s="545"/>
      <c r="B33" s="574">
        <f>+E25</f>
        <v>0</v>
      </c>
      <c r="C33" s="575"/>
      <c r="D33" s="575"/>
      <c r="E33" s="556">
        <f t="shared" si="22"/>
        <v>0</v>
      </c>
      <c r="F33" s="578">
        <f>+F9</f>
        <v>0</v>
      </c>
      <c r="G33" s="558">
        <f t="shared" si="23"/>
        <v>0</v>
      </c>
      <c r="H33" s="559"/>
      <c r="I33" s="574">
        <f>+L25</f>
        <v>0</v>
      </c>
      <c r="J33" s="575"/>
      <c r="K33" s="575"/>
      <c r="L33" s="556">
        <f t="shared" si="24"/>
        <v>0</v>
      </c>
      <c r="M33" s="578">
        <f>+M9</f>
        <v>0</v>
      </c>
      <c r="N33" s="558">
        <f t="shared" si="25"/>
        <v>0</v>
      </c>
      <c r="O33" s="559"/>
      <c r="P33" s="574">
        <f>+S25</f>
        <v>0</v>
      </c>
      <c r="Q33" s="575"/>
      <c r="R33" s="575"/>
      <c r="S33" s="556">
        <f t="shared" si="26"/>
        <v>0</v>
      </c>
      <c r="T33" s="578">
        <f>+T9</f>
        <v>0</v>
      </c>
      <c r="U33" s="558">
        <f t="shared" si="27"/>
        <v>0</v>
      </c>
      <c r="V33" s="559"/>
      <c r="W33" s="560">
        <f t="shared" si="21"/>
        <v>0</v>
      </c>
      <c r="X33" s="545"/>
      <c r="Y33" s="545"/>
      <c r="Z33" s="570"/>
      <c r="AA33" s="570"/>
      <c r="AB33" s="570"/>
      <c r="AC33" s="570"/>
    </row>
    <row r="34" spans="1:29" ht="12.75" customHeight="1">
      <c r="A34" s="545"/>
      <c r="B34" s="559"/>
      <c r="C34" s="559"/>
      <c r="D34" s="559"/>
      <c r="E34" s="559"/>
      <c r="F34" s="559"/>
      <c r="G34" s="562">
        <f>SUM(G31:G33)</f>
        <v>24090</v>
      </c>
      <c r="H34" s="559"/>
      <c r="I34" s="559"/>
      <c r="J34" s="559"/>
      <c r="K34" s="559"/>
      <c r="L34" s="559"/>
      <c r="M34" s="559"/>
      <c r="N34" s="562">
        <f>SUM(N31:N33)</f>
        <v>17450</v>
      </c>
      <c r="O34" s="559"/>
      <c r="P34" s="559"/>
      <c r="Q34" s="559"/>
      <c r="R34" s="559"/>
      <c r="S34" s="559"/>
      <c r="T34" s="559"/>
      <c r="U34" s="562">
        <f>SUM(U31:U33)</f>
        <v>9600</v>
      </c>
      <c r="V34" s="559"/>
      <c r="W34" s="563">
        <f>SUM(W31:W33)</f>
        <v>153420</v>
      </c>
      <c r="X34" s="564">
        <f>+G34*3+N34*3+U34*3-W34</f>
        <v>0</v>
      </c>
      <c r="Y34" s="565"/>
      <c r="Z34" s="545"/>
      <c r="AA34" s="545"/>
      <c r="AB34" s="545"/>
      <c r="AC34" s="545"/>
    </row>
    <row r="35" spans="1:29" ht="12.75" customHeight="1" thickBot="1">
      <c r="A35" s="545"/>
      <c r="B35" s="545"/>
      <c r="C35" s="545"/>
      <c r="D35" s="545"/>
      <c r="E35" s="545"/>
      <c r="F35" s="554"/>
      <c r="G35" s="554"/>
      <c r="H35" s="554"/>
      <c r="I35" s="554"/>
      <c r="J35" s="554"/>
      <c r="K35" s="554"/>
      <c r="L35" s="554"/>
      <c r="M35" s="545"/>
      <c r="N35" s="545"/>
      <c r="O35" s="545"/>
      <c r="P35" s="554"/>
      <c r="Q35" s="554"/>
      <c r="R35" s="554"/>
      <c r="S35" s="554"/>
      <c r="T35" s="554"/>
      <c r="U35" s="554"/>
      <c r="V35" s="554"/>
      <c r="W35" s="545"/>
      <c r="X35" s="545"/>
      <c r="Y35" s="545"/>
      <c r="Z35" s="554"/>
      <c r="AA35" s="554"/>
      <c r="AB35" s="554"/>
      <c r="AC35" s="554"/>
    </row>
    <row r="36" spans="1:29" ht="30.75" customHeight="1" thickBot="1">
      <c r="A36" s="546"/>
      <c r="B36" s="860" t="s">
        <v>418</v>
      </c>
      <c r="C36" s="861"/>
      <c r="D36" s="861"/>
      <c r="E36" s="861"/>
      <c r="F36" s="861"/>
      <c r="G36" s="861"/>
      <c r="H36" s="861"/>
      <c r="I36" s="861"/>
      <c r="J36" s="861"/>
      <c r="K36" s="861"/>
      <c r="L36" s="861"/>
      <c r="M36" s="861"/>
      <c r="N36" s="861"/>
      <c r="O36" s="861"/>
      <c r="P36" s="861"/>
      <c r="Q36" s="861"/>
      <c r="R36" s="861"/>
      <c r="S36" s="861"/>
      <c r="T36" s="861"/>
      <c r="U36" s="861"/>
      <c r="V36" s="861"/>
      <c r="W36" s="861"/>
      <c r="X36" s="547"/>
      <c r="Y36" s="547"/>
      <c r="Z36" s="554"/>
      <c r="AA36" s="554"/>
      <c r="AB36" s="554"/>
      <c r="AC36" s="554"/>
    </row>
    <row r="37" spans="1:29" ht="12.75" customHeight="1" thickBot="1">
      <c r="B37" s="862" t="s">
        <v>188</v>
      </c>
      <c r="C37" s="862"/>
      <c r="D37" s="862"/>
      <c r="E37" s="862"/>
      <c r="F37" s="862"/>
      <c r="G37" s="862"/>
      <c r="H37" s="547"/>
      <c r="I37" s="862" t="s">
        <v>332</v>
      </c>
      <c r="J37" s="862"/>
      <c r="K37" s="862"/>
      <c r="L37" s="862"/>
      <c r="M37" s="862"/>
      <c r="N37" s="862"/>
      <c r="O37" s="547"/>
      <c r="P37" s="862" t="s">
        <v>189</v>
      </c>
      <c r="Q37" s="862"/>
      <c r="R37" s="862"/>
      <c r="S37" s="862"/>
      <c r="T37" s="862"/>
      <c r="U37" s="862"/>
      <c r="V37" s="547"/>
      <c r="W37" s="548" t="s">
        <v>23</v>
      </c>
      <c r="X37" s="545"/>
      <c r="Y37" s="545"/>
      <c r="Z37" s="554"/>
      <c r="AA37" s="554"/>
      <c r="AB37" s="554"/>
      <c r="AC37" s="554"/>
    </row>
    <row r="38" spans="1:29" ht="12.75" customHeight="1">
      <c r="A38" s="549"/>
      <c r="B38" s="550" t="s">
        <v>400</v>
      </c>
      <c r="C38" s="550" t="s">
        <v>401</v>
      </c>
      <c r="D38" s="550" t="s">
        <v>402</v>
      </c>
      <c r="E38" s="550" t="s">
        <v>403</v>
      </c>
      <c r="F38" s="551" t="s">
        <v>413</v>
      </c>
      <c r="G38" s="551" t="s">
        <v>50</v>
      </c>
      <c r="H38" s="552"/>
      <c r="I38" s="550" t="s">
        <v>400</v>
      </c>
      <c r="J38" s="550" t="s">
        <v>401</v>
      </c>
      <c r="K38" s="550" t="s">
        <v>402</v>
      </c>
      <c r="L38" s="550" t="s">
        <v>403</v>
      </c>
      <c r="M38" s="551" t="s">
        <v>413</v>
      </c>
      <c r="N38" s="551" t="s">
        <v>50</v>
      </c>
      <c r="O38" s="552"/>
      <c r="P38" s="550" t="s">
        <v>400</v>
      </c>
      <c r="Q38" s="550" t="s">
        <v>401</v>
      </c>
      <c r="R38" s="550" t="s">
        <v>402</v>
      </c>
      <c r="S38" s="550" t="s">
        <v>403</v>
      </c>
      <c r="T38" s="551" t="s">
        <v>413</v>
      </c>
      <c r="U38" s="551" t="s">
        <v>50</v>
      </c>
      <c r="V38" s="552"/>
      <c r="W38" s="553" t="s">
        <v>50</v>
      </c>
      <c r="X38" s="568"/>
      <c r="Y38" s="568"/>
      <c r="Z38" s="554"/>
      <c r="AA38" s="554"/>
      <c r="AB38" s="554"/>
      <c r="AC38" s="554"/>
    </row>
    <row r="39" spans="1:29" ht="12.75" customHeight="1">
      <c r="A39" s="545" t="s">
        <v>411</v>
      </c>
      <c r="B39" s="574">
        <f>+E31</f>
        <v>108</v>
      </c>
      <c r="C39" s="575">
        <v>100</v>
      </c>
      <c r="D39" s="575">
        <v>-10</v>
      </c>
      <c r="E39" s="556">
        <f>+B39+C39+D39</f>
        <v>198</v>
      </c>
      <c r="F39" s="577">
        <f>+F15</f>
        <v>200</v>
      </c>
      <c r="G39" s="558">
        <f>(+B39+C39+D39)*F39</f>
        <v>39600</v>
      </c>
      <c r="H39" s="559"/>
      <c r="I39" s="574">
        <f>+L31</f>
        <v>46</v>
      </c>
      <c r="J39" s="575">
        <v>50</v>
      </c>
      <c r="K39" s="575">
        <v>-6</v>
      </c>
      <c r="L39" s="556">
        <f>+I39+J39+K39</f>
        <v>90</v>
      </c>
      <c r="M39" s="577">
        <f>+M15</f>
        <v>300</v>
      </c>
      <c r="N39" s="558">
        <f>(+I39+J39+K39)*M39</f>
        <v>27000</v>
      </c>
      <c r="O39" s="559"/>
      <c r="P39" s="574">
        <f>+S31</f>
        <v>15</v>
      </c>
      <c r="Q39" s="575">
        <v>15</v>
      </c>
      <c r="R39" s="575">
        <v>-1</v>
      </c>
      <c r="S39" s="556">
        <f>+P39+Q39+R39</f>
        <v>29</v>
      </c>
      <c r="T39" s="577">
        <f>+T15</f>
        <v>600</v>
      </c>
      <c r="U39" s="558">
        <f>(+P39+Q39+R39)*T39</f>
        <v>17400</v>
      </c>
      <c r="V39" s="559"/>
      <c r="W39" s="560">
        <f t="shared" ref="W39:W41" si="28">(+G39+N39+U39)*3</f>
        <v>252000</v>
      </c>
      <c r="X39" s="545"/>
      <c r="Y39" s="545"/>
      <c r="Z39" s="554"/>
      <c r="AA39" s="554"/>
      <c r="AB39" s="554"/>
      <c r="AC39" s="554"/>
    </row>
    <row r="40" spans="1:29" ht="12.75" customHeight="1">
      <c r="A40" s="545" t="s">
        <v>412</v>
      </c>
      <c r="B40" s="574">
        <f>+E32</f>
        <v>83</v>
      </c>
      <c r="C40" s="576">
        <v>70</v>
      </c>
      <c r="D40" s="576">
        <v>-5</v>
      </c>
      <c r="E40" s="556">
        <f t="shared" ref="E40:E41" si="29">+B40+C40+D40</f>
        <v>148</v>
      </c>
      <c r="F40" s="578">
        <f>+F16</f>
        <v>30</v>
      </c>
      <c r="G40" s="558">
        <f t="shared" ref="G40:G41" si="30">(+B40+C40+D40)*F40</f>
        <v>4440</v>
      </c>
      <c r="H40" s="559"/>
      <c r="I40" s="574">
        <f>+L32</f>
        <v>73</v>
      </c>
      <c r="J40" s="576">
        <v>50</v>
      </c>
      <c r="K40" s="576">
        <v>-2</v>
      </c>
      <c r="L40" s="556">
        <f t="shared" ref="L40:L41" si="31">+I40+J40+K40</f>
        <v>121</v>
      </c>
      <c r="M40" s="578">
        <f>+M16</f>
        <v>50</v>
      </c>
      <c r="N40" s="558">
        <f t="shared" ref="N40:N41" si="32">(+I40+J40+K40)*M40</f>
        <v>6050</v>
      </c>
      <c r="O40" s="559"/>
      <c r="P40" s="574">
        <f>+S32</f>
        <v>6</v>
      </c>
      <c r="Q40" s="576">
        <v>10</v>
      </c>
      <c r="R40" s="576">
        <v>-2</v>
      </c>
      <c r="S40" s="556">
        <f t="shared" ref="S40:S41" si="33">+P40+Q40+R40</f>
        <v>14</v>
      </c>
      <c r="T40" s="578">
        <f>+T16</f>
        <v>100</v>
      </c>
      <c r="U40" s="558">
        <f t="shared" ref="U40:U41" si="34">(+P40+Q40+R40)*T40</f>
        <v>1400</v>
      </c>
      <c r="V40" s="559"/>
      <c r="W40" s="560">
        <f t="shared" si="28"/>
        <v>35670</v>
      </c>
      <c r="X40" s="545"/>
      <c r="Y40" s="545"/>
      <c r="Z40" s="554"/>
      <c r="AA40" s="554"/>
      <c r="AB40" s="554"/>
      <c r="AC40" s="554"/>
    </row>
    <row r="41" spans="1:29" ht="12.75" customHeight="1">
      <c r="A41" s="545"/>
      <c r="B41" s="574">
        <f>+E33</f>
        <v>0</v>
      </c>
      <c r="C41" s="575"/>
      <c r="D41" s="575"/>
      <c r="E41" s="556">
        <f t="shared" si="29"/>
        <v>0</v>
      </c>
      <c r="F41" s="578">
        <f>+F17</f>
        <v>0</v>
      </c>
      <c r="G41" s="558">
        <f t="shared" si="30"/>
        <v>0</v>
      </c>
      <c r="H41" s="559"/>
      <c r="I41" s="574">
        <f>+L33</f>
        <v>0</v>
      </c>
      <c r="J41" s="575"/>
      <c r="K41" s="575"/>
      <c r="L41" s="556">
        <f t="shared" si="31"/>
        <v>0</v>
      </c>
      <c r="M41" s="578">
        <f>+M17</f>
        <v>0</v>
      </c>
      <c r="N41" s="558">
        <f t="shared" si="32"/>
        <v>0</v>
      </c>
      <c r="O41" s="559"/>
      <c r="P41" s="574">
        <f>+S33</f>
        <v>0</v>
      </c>
      <c r="Q41" s="575"/>
      <c r="R41" s="575"/>
      <c r="S41" s="556">
        <f t="shared" si="33"/>
        <v>0</v>
      </c>
      <c r="T41" s="578">
        <f>+T17</f>
        <v>0</v>
      </c>
      <c r="U41" s="558">
        <f t="shared" si="34"/>
        <v>0</v>
      </c>
      <c r="V41" s="559"/>
      <c r="W41" s="560">
        <f t="shared" si="28"/>
        <v>0</v>
      </c>
      <c r="X41" s="545"/>
      <c r="Y41" s="545"/>
      <c r="Z41" s="554"/>
      <c r="AA41" s="554"/>
      <c r="AB41" s="554"/>
      <c r="AC41" s="554"/>
    </row>
    <row r="42" spans="1:29" ht="12.75" customHeight="1">
      <c r="A42" s="545"/>
      <c r="B42" s="559"/>
      <c r="C42" s="559"/>
      <c r="D42" s="559"/>
      <c r="E42" s="559"/>
      <c r="F42" s="559"/>
      <c r="G42" s="562">
        <f>SUM(G39:G41)</f>
        <v>44040</v>
      </c>
      <c r="H42" s="559"/>
      <c r="I42" s="559"/>
      <c r="J42" s="559"/>
      <c r="K42" s="559"/>
      <c r="L42" s="559"/>
      <c r="M42" s="559"/>
      <c r="N42" s="562">
        <f>SUM(N39:N41)</f>
        <v>33050</v>
      </c>
      <c r="O42" s="559"/>
      <c r="P42" s="559"/>
      <c r="Q42" s="559"/>
      <c r="R42" s="559"/>
      <c r="S42" s="559"/>
      <c r="T42" s="559"/>
      <c r="U42" s="562">
        <f>SUM(U39:U41)</f>
        <v>18800</v>
      </c>
      <c r="V42" s="559"/>
      <c r="W42" s="563">
        <f>SUM(W39:W41)</f>
        <v>287670</v>
      </c>
      <c r="X42" s="564">
        <f>+G42*3+N42*3+U42*3-W42</f>
        <v>0</v>
      </c>
      <c r="Y42" s="565"/>
      <c r="Z42" s="554"/>
      <c r="AA42" s="554"/>
      <c r="AB42" s="554"/>
      <c r="AC42" s="554"/>
    </row>
    <row r="43" spans="1:29" ht="12.75" customHeight="1" thickBot="1">
      <c r="A43" s="545"/>
      <c r="B43" s="545"/>
      <c r="C43" s="545"/>
      <c r="D43" s="545"/>
      <c r="E43" s="545"/>
      <c r="F43" s="554"/>
      <c r="G43" s="554"/>
      <c r="H43" s="554"/>
      <c r="I43" s="554"/>
      <c r="J43" s="554"/>
      <c r="K43" s="554"/>
      <c r="L43" s="554"/>
      <c r="M43" s="545"/>
      <c r="N43" s="545"/>
      <c r="O43" s="545"/>
      <c r="P43" s="554"/>
      <c r="Q43" s="554"/>
      <c r="R43" s="554"/>
      <c r="S43" s="554"/>
      <c r="T43" s="554"/>
      <c r="U43" s="554"/>
      <c r="V43" s="554"/>
      <c r="W43" s="545"/>
      <c r="X43" s="545"/>
      <c r="Y43" s="545"/>
      <c r="Z43" s="554"/>
      <c r="AA43" s="554"/>
      <c r="AB43" s="554"/>
      <c r="AC43" s="554"/>
    </row>
    <row r="44" spans="1:29" ht="19.5" customHeight="1" thickBot="1">
      <c r="A44" s="546"/>
      <c r="B44" s="860" t="s">
        <v>419</v>
      </c>
      <c r="C44" s="861"/>
      <c r="D44" s="861"/>
      <c r="E44" s="861"/>
      <c r="F44" s="861"/>
      <c r="G44" s="861"/>
      <c r="H44" s="861"/>
      <c r="I44" s="861"/>
      <c r="J44" s="861"/>
      <c r="K44" s="861"/>
      <c r="L44" s="861"/>
      <c r="M44" s="861"/>
      <c r="N44" s="861"/>
      <c r="O44" s="861"/>
      <c r="P44" s="861"/>
      <c r="Q44" s="861"/>
      <c r="R44" s="861"/>
      <c r="S44" s="861"/>
      <c r="T44" s="861"/>
      <c r="U44" s="861"/>
      <c r="V44" s="861"/>
      <c r="W44" s="861"/>
      <c r="X44" s="547"/>
      <c r="Y44" s="547"/>
      <c r="Z44" s="554"/>
      <c r="AA44" s="554"/>
      <c r="AB44" s="554"/>
      <c r="AC44" s="554"/>
    </row>
    <row r="45" spans="1:29" ht="12.75" customHeight="1" thickBot="1">
      <c r="B45" s="862" t="s">
        <v>188</v>
      </c>
      <c r="C45" s="862"/>
      <c r="D45" s="862"/>
      <c r="E45" s="862"/>
      <c r="F45" s="862"/>
      <c r="G45" s="862"/>
      <c r="H45" s="547"/>
      <c r="I45" s="862" t="s">
        <v>332</v>
      </c>
      <c r="J45" s="862"/>
      <c r="K45" s="862"/>
      <c r="L45" s="862"/>
      <c r="M45" s="862"/>
      <c r="N45" s="862"/>
      <c r="O45" s="547"/>
      <c r="P45" s="862" t="s">
        <v>189</v>
      </c>
      <c r="Q45" s="862"/>
      <c r="R45" s="862"/>
      <c r="S45" s="862"/>
      <c r="T45" s="862"/>
      <c r="U45" s="862"/>
      <c r="V45" s="547"/>
      <c r="W45" s="548" t="s">
        <v>23</v>
      </c>
      <c r="X45" s="545"/>
      <c r="Y45" s="545"/>
      <c r="Z45" s="554"/>
      <c r="AA45" s="554"/>
      <c r="AB45" s="554"/>
      <c r="AC45" s="554"/>
    </row>
    <row r="46" spans="1:29" ht="12.75" customHeight="1">
      <c r="A46" s="549"/>
      <c r="B46" s="550" t="s">
        <v>400</v>
      </c>
      <c r="C46" s="550" t="s">
        <v>401</v>
      </c>
      <c r="D46" s="550" t="s">
        <v>402</v>
      </c>
      <c r="E46" s="550" t="s">
        <v>403</v>
      </c>
      <c r="F46" s="551" t="s">
        <v>413</v>
      </c>
      <c r="G46" s="551" t="s">
        <v>50</v>
      </c>
      <c r="H46" s="552"/>
      <c r="I46" s="550" t="s">
        <v>400</v>
      </c>
      <c r="J46" s="550" t="s">
        <v>401</v>
      </c>
      <c r="K46" s="550" t="s">
        <v>402</v>
      </c>
      <c r="L46" s="550" t="s">
        <v>403</v>
      </c>
      <c r="M46" s="551" t="s">
        <v>413</v>
      </c>
      <c r="N46" s="551" t="s">
        <v>50</v>
      </c>
      <c r="O46" s="552"/>
      <c r="P46" s="550" t="s">
        <v>400</v>
      </c>
      <c r="Q46" s="550" t="s">
        <v>401</v>
      </c>
      <c r="R46" s="550" t="s">
        <v>402</v>
      </c>
      <c r="S46" s="550" t="s">
        <v>403</v>
      </c>
      <c r="T46" s="551" t="s">
        <v>413</v>
      </c>
      <c r="U46" s="551" t="s">
        <v>50</v>
      </c>
      <c r="V46" s="552"/>
      <c r="W46" s="553" t="s">
        <v>50</v>
      </c>
      <c r="X46" s="568"/>
      <c r="Y46" s="568"/>
      <c r="Z46" s="554"/>
      <c r="AA46" s="554"/>
      <c r="AB46" s="554"/>
      <c r="AC46" s="554"/>
    </row>
    <row r="47" spans="1:29" ht="12.75" customHeight="1">
      <c r="A47" s="545" t="s">
        <v>411</v>
      </c>
      <c r="B47" s="574">
        <f>+E39</f>
        <v>198</v>
      </c>
      <c r="C47" s="575">
        <v>150</v>
      </c>
      <c r="D47" s="575">
        <v>-12</v>
      </c>
      <c r="E47" s="556">
        <f>+B47+C47+D47</f>
        <v>336</v>
      </c>
      <c r="F47" s="577">
        <f>+F23</f>
        <v>200</v>
      </c>
      <c r="G47" s="558">
        <f>(+B47+C47+D47)*F47</f>
        <v>67200</v>
      </c>
      <c r="H47" s="559"/>
      <c r="I47" s="574">
        <f>+L39</f>
        <v>90</v>
      </c>
      <c r="J47" s="575">
        <v>90</v>
      </c>
      <c r="K47" s="575">
        <v>-10</v>
      </c>
      <c r="L47" s="556">
        <f>+I47+J47+K47</f>
        <v>170</v>
      </c>
      <c r="M47" s="577">
        <f>+M23</f>
        <v>300</v>
      </c>
      <c r="N47" s="558">
        <f>(+I47+J47+K47)*M47</f>
        <v>51000</v>
      </c>
      <c r="O47" s="559"/>
      <c r="P47" s="574">
        <f>+S39</f>
        <v>29</v>
      </c>
      <c r="Q47" s="575">
        <v>25</v>
      </c>
      <c r="R47" s="575">
        <v>-6</v>
      </c>
      <c r="S47" s="556">
        <f>+P47+Q47+R47</f>
        <v>48</v>
      </c>
      <c r="T47" s="577">
        <f>+T23</f>
        <v>600</v>
      </c>
      <c r="U47" s="558">
        <f>(+P47+Q47+R47)*T47</f>
        <v>28800</v>
      </c>
      <c r="V47" s="559"/>
      <c r="W47" s="560">
        <f t="shared" ref="W47:W49" si="35">(+G47+N47+U47)*3</f>
        <v>441000</v>
      </c>
      <c r="X47" s="545"/>
      <c r="Y47" s="545"/>
      <c r="Z47" s="554"/>
      <c r="AA47" s="554"/>
      <c r="AB47" s="554"/>
      <c r="AC47" s="554"/>
    </row>
    <row r="48" spans="1:29" ht="12.75" customHeight="1">
      <c r="A48" s="545" t="s">
        <v>412</v>
      </c>
      <c r="B48" s="574">
        <f>+E40</f>
        <v>148</v>
      </c>
      <c r="C48" s="576">
        <v>95</v>
      </c>
      <c r="D48" s="576">
        <v>-10</v>
      </c>
      <c r="E48" s="556">
        <f t="shared" ref="E48:E49" si="36">+B48+C48+D48</f>
        <v>233</v>
      </c>
      <c r="F48" s="578">
        <f>+F24</f>
        <v>30</v>
      </c>
      <c r="G48" s="558">
        <f t="shared" ref="G48:G49" si="37">(+B48+C48+D48)*F48</f>
        <v>6990</v>
      </c>
      <c r="H48" s="559"/>
      <c r="I48" s="574">
        <f>+L40</f>
        <v>121</v>
      </c>
      <c r="J48" s="576">
        <v>90</v>
      </c>
      <c r="K48" s="576">
        <v>-5</v>
      </c>
      <c r="L48" s="556">
        <f t="shared" ref="L48:L49" si="38">+I48+J48+K48</f>
        <v>206</v>
      </c>
      <c r="M48" s="578">
        <f>+M24</f>
        <v>50</v>
      </c>
      <c r="N48" s="558">
        <f t="shared" ref="N48:N49" si="39">(+I48+J48+K48)*M48</f>
        <v>10300</v>
      </c>
      <c r="O48" s="559"/>
      <c r="P48" s="574">
        <f>+S40</f>
        <v>14</v>
      </c>
      <c r="Q48" s="576">
        <v>20</v>
      </c>
      <c r="R48" s="576">
        <v>-3</v>
      </c>
      <c r="S48" s="556">
        <f t="shared" ref="S48:S49" si="40">+P48+Q48+R48</f>
        <v>31</v>
      </c>
      <c r="T48" s="578">
        <f>+T24</f>
        <v>100</v>
      </c>
      <c r="U48" s="558">
        <f t="shared" ref="U48:U49" si="41">(+P48+Q48+R48)*T48</f>
        <v>3100</v>
      </c>
      <c r="V48" s="559"/>
      <c r="W48" s="560">
        <f t="shared" si="35"/>
        <v>61170</v>
      </c>
      <c r="X48" s="545"/>
      <c r="Y48" s="545"/>
      <c r="Z48" s="554"/>
      <c r="AA48" s="554"/>
      <c r="AB48" s="554"/>
      <c r="AC48" s="554"/>
    </row>
    <row r="49" spans="1:29" ht="12.75" customHeight="1">
      <c r="A49" s="545"/>
      <c r="B49" s="574">
        <f>+E41</f>
        <v>0</v>
      </c>
      <c r="C49" s="575"/>
      <c r="D49" s="575"/>
      <c r="E49" s="556">
        <f t="shared" si="36"/>
        <v>0</v>
      </c>
      <c r="F49" s="578">
        <f>+F25</f>
        <v>0</v>
      </c>
      <c r="G49" s="558">
        <f t="shared" si="37"/>
        <v>0</v>
      </c>
      <c r="H49" s="559"/>
      <c r="I49" s="574">
        <f>+L41</f>
        <v>0</v>
      </c>
      <c r="J49" s="575"/>
      <c r="K49" s="575"/>
      <c r="L49" s="556">
        <f t="shared" si="38"/>
        <v>0</v>
      </c>
      <c r="M49" s="578">
        <f>+M25</f>
        <v>0</v>
      </c>
      <c r="N49" s="558">
        <f t="shared" si="39"/>
        <v>0</v>
      </c>
      <c r="O49" s="559"/>
      <c r="P49" s="574">
        <f>+S41</f>
        <v>0</v>
      </c>
      <c r="Q49" s="575"/>
      <c r="R49" s="575"/>
      <c r="S49" s="556">
        <f t="shared" si="40"/>
        <v>0</v>
      </c>
      <c r="T49" s="578">
        <f>+T25</f>
        <v>0</v>
      </c>
      <c r="U49" s="558">
        <f t="shared" si="41"/>
        <v>0</v>
      </c>
      <c r="V49" s="559"/>
      <c r="W49" s="560">
        <f t="shared" si="35"/>
        <v>0</v>
      </c>
      <c r="X49" s="545"/>
      <c r="Y49" s="545"/>
      <c r="Z49" s="554"/>
      <c r="AA49" s="554"/>
      <c r="AB49" s="554"/>
      <c r="AC49" s="554"/>
    </row>
    <row r="50" spans="1:29" ht="12.75" customHeight="1">
      <c r="A50" s="545"/>
      <c r="B50" s="559"/>
      <c r="C50" s="559"/>
      <c r="D50" s="559"/>
      <c r="E50" s="559"/>
      <c r="F50" s="559"/>
      <c r="G50" s="562">
        <f>SUM(G47:G49)</f>
        <v>74190</v>
      </c>
      <c r="H50" s="559"/>
      <c r="I50" s="559"/>
      <c r="J50" s="559"/>
      <c r="K50" s="559"/>
      <c r="L50" s="559"/>
      <c r="M50" s="559"/>
      <c r="N50" s="562">
        <f>SUM(N47:N49)</f>
        <v>61300</v>
      </c>
      <c r="O50" s="559"/>
      <c r="P50" s="559"/>
      <c r="Q50" s="559"/>
      <c r="R50" s="559"/>
      <c r="S50" s="559"/>
      <c r="T50" s="559"/>
      <c r="U50" s="562">
        <f>SUM(U47:U49)</f>
        <v>31900</v>
      </c>
      <c r="V50" s="559"/>
      <c r="W50" s="563">
        <f>SUM(W47:W49)</f>
        <v>502170</v>
      </c>
      <c r="X50" s="564">
        <f>+G50*3+N50*3+U50*3-W50</f>
        <v>0</v>
      </c>
      <c r="Y50" s="565"/>
      <c r="Z50" s="554"/>
      <c r="AA50" s="554"/>
      <c r="AB50" s="554"/>
      <c r="AC50" s="554"/>
    </row>
    <row r="51" spans="1:29" ht="12.75" customHeight="1">
      <c r="A51" s="545"/>
      <c r="B51" s="545"/>
      <c r="C51" s="545"/>
      <c r="D51" s="545"/>
      <c r="E51" s="545"/>
      <c r="F51" s="554"/>
      <c r="G51" s="554"/>
      <c r="H51" s="554"/>
      <c r="I51" s="554"/>
      <c r="J51" s="554"/>
      <c r="K51" s="554"/>
      <c r="L51" s="554"/>
      <c r="M51" s="545"/>
      <c r="N51" s="545"/>
      <c r="O51" s="545"/>
      <c r="P51" s="554"/>
      <c r="Q51" s="554"/>
      <c r="R51" s="554"/>
      <c r="S51" s="554"/>
      <c r="T51" s="554"/>
      <c r="U51" s="554"/>
      <c r="V51" s="554"/>
      <c r="W51" s="545"/>
      <c r="X51" s="545"/>
      <c r="Y51" s="545"/>
      <c r="Z51" s="554"/>
      <c r="AA51" s="554"/>
      <c r="AB51" s="554"/>
      <c r="AC51" s="554"/>
    </row>
    <row r="52" spans="1:29" ht="12.75" customHeight="1" thickBot="1">
      <c r="A52" s="545"/>
      <c r="B52" s="545"/>
      <c r="C52" s="545"/>
      <c r="D52" s="545"/>
      <c r="E52" s="545"/>
      <c r="F52" s="554"/>
      <c r="G52" s="554"/>
      <c r="H52" s="554"/>
      <c r="I52" s="554"/>
      <c r="J52" s="554"/>
      <c r="K52" s="554"/>
      <c r="L52" s="554"/>
      <c r="M52" s="545"/>
      <c r="N52" s="545"/>
      <c r="O52" s="545"/>
      <c r="P52" s="554"/>
      <c r="Q52" s="554"/>
      <c r="R52" s="554"/>
      <c r="S52" s="554"/>
      <c r="T52" s="554"/>
      <c r="U52" s="554"/>
      <c r="V52" s="554"/>
      <c r="W52" s="545"/>
      <c r="X52" s="545"/>
      <c r="Y52" s="545"/>
      <c r="Z52" s="554"/>
      <c r="AA52" s="554"/>
      <c r="AB52" s="554"/>
      <c r="AC52" s="554"/>
    </row>
    <row r="53" spans="1:29" ht="19.5" thickBot="1">
      <c r="A53" s="546"/>
      <c r="B53" s="860" t="s">
        <v>23</v>
      </c>
      <c r="C53" s="861"/>
      <c r="D53" s="861"/>
      <c r="E53" s="861"/>
      <c r="F53" s="861"/>
      <c r="G53" s="861"/>
      <c r="H53" s="861"/>
      <c r="I53" s="861"/>
      <c r="J53" s="861"/>
      <c r="K53" s="861"/>
      <c r="L53" s="861"/>
      <c r="M53" s="861"/>
      <c r="N53" s="861"/>
      <c r="O53" s="861"/>
      <c r="P53" s="861"/>
      <c r="Q53" s="861"/>
      <c r="R53" s="861"/>
      <c r="S53" s="861"/>
      <c r="T53" s="861"/>
      <c r="U53" s="861"/>
      <c r="V53" s="861"/>
      <c r="W53" s="861"/>
      <c r="X53" s="568"/>
      <c r="Y53" s="568"/>
      <c r="Z53" s="545"/>
      <c r="AA53" s="545"/>
      <c r="AB53" s="545"/>
      <c r="AC53" s="545"/>
    </row>
    <row r="54" spans="1:29" ht="12.75" customHeight="1" thickBot="1">
      <c r="B54" s="862" t="s">
        <v>188</v>
      </c>
      <c r="C54" s="862"/>
      <c r="D54" s="862"/>
      <c r="E54" s="862"/>
      <c r="F54" s="862"/>
      <c r="G54" s="862"/>
      <c r="H54" s="547"/>
      <c r="I54" s="862" t="s">
        <v>332</v>
      </c>
      <c r="J54" s="862"/>
      <c r="K54" s="862"/>
      <c r="L54" s="862"/>
      <c r="M54" s="862"/>
      <c r="N54" s="862"/>
      <c r="O54" s="547"/>
      <c r="P54" s="862" t="s">
        <v>189</v>
      </c>
      <c r="Q54" s="862"/>
      <c r="R54" s="862"/>
      <c r="S54" s="862"/>
      <c r="T54" s="862"/>
      <c r="U54" s="862"/>
      <c r="V54" s="547"/>
      <c r="W54" s="548" t="s">
        <v>23</v>
      </c>
      <c r="X54" s="545"/>
      <c r="Y54" s="545"/>
      <c r="Z54" s="569"/>
      <c r="AA54" s="569"/>
      <c r="AB54" s="569"/>
      <c r="AC54" s="569"/>
    </row>
    <row r="55" spans="1:29" ht="27" customHeight="1">
      <c r="A55" s="549"/>
      <c r="B55" s="550" t="s">
        <v>400</v>
      </c>
      <c r="C55" s="550" t="s">
        <v>401</v>
      </c>
      <c r="D55" s="550" t="s">
        <v>402</v>
      </c>
      <c r="E55" s="550" t="s">
        <v>403</v>
      </c>
      <c r="F55" s="551" t="s">
        <v>404</v>
      </c>
      <c r="G55" s="551" t="s">
        <v>48</v>
      </c>
      <c r="H55" s="552"/>
      <c r="I55" s="550" t="s">
        <v>400</v>
      </c>
      <c r="J55" s="550" t="s">
        <v>401</v>
      </c>
      <c r="K55" s="550" t="s">
        <v>402</v>
      </c>
      <c r="L55" s="550" t="s">
        <v>403</v>
      </c>
      <c r="M55" s="551" t="s">
        <v>404</v>
      </c>
      <c r="N55" s="551" t="s">
        <v>48</v>
      </c>
      <c r="O55" s="552"/>
      <c r="P55" s="550" t="s">
        <v>400</v>
      </c>
      <c r="Q55" s="550" t="s">
        <v>401</v>
      </c>
      <c r="R55" s="550" t="s">
        <v>402</v>
      </c>
      <c r="S55" s="550" t="s">
        <v>403</v>
      </c>
      <c r="T55" s="551" t="s">
        <v>404</v>
      </c>
      <c r="U55" s="551" t="s">
        <v>48</v>
      </c>
      <c r="V55" s="552"/>
      <c r="W55" s="553" t="s">
        <v>50</v>
      </c>
      <c r="X55" s="545"/>
      <c r="Y55" s="545"/>
      <c r="Z55" s="569"/>
      <c r="AA55" s="569"/>
      <c r="AB55" s="569"/>
      <c r="AC55" s="569"/>
    </row>
    <row r="56" spans="1:29" ht="12.75" customHeight="1">
      <c r="A56" s="545" t="s">
        <v>405</v>
      </c>
      <c r="B56" s="555">
        <f>+E31</f>
        <v>108</v>
      </c>
      <c r="C56" s="555"/>
      <c r="D56" s="555"/>
      <c r="E56" s="556">
        <f>+B56+C56+D56</f>
        <v>108</v>
      </c>
      <c r="F56" s="557">
        <f>+F7</f>
        <v>200</v>
      </c>
      <c r="G56" s="558">
        <f>+G7+G15+G23+G31</f>
        <v>39800</v>
      </c>
      <c r="H56" s="559"/>
      <c r="I56" s="555">
        <f>+L31</f>
        <v>46</v>
      </c>
      <c r="J56" s="555"/>
      <c r="K56" s="555"/>
      <c r="L56" s="556">
        <f>+I56+J56+K56</f>
        <v>46</v>
      </c>
      <c r="M56" s="557">
        <f>+M7</f>
        <v>300</v>
      </c>
      <c r="N56" s="558">
        <f>+N7+N15+N23+N31</f>
        <v>27900</v>
      </c>
      <c r="O56" s="559"/>
      <c r="P56" s="555">
        <f>+S31</f>
        <v>15</v>
      </c>
      <c r="Q56" s="555"/>
      <c r="R56" s="555"/>
      <c r="S56" s="556">
        <f>+P56+Q56+R56</f>
        <v>15</v>
      </c>
      <c r="T56" s="557">
        <f>+T7</f>
        <v>600</v>
      </c>
      <c r="U56" s="558">
        <f>+U7+U15+U23+U31</f>
        <v>18600</v>
      </c>
      <c r="V56" s="559"/>
      <c r="W56" s="560">
        <f>(+G56+N56+U56)*3</f>
        <v>258900</v>
      </c>
      <c r="X56" s="571"/>
      <c r="Y56" s="545"/>
      <c r="Z56" s="569"/>
      <c r="AA56" s="569"/>
      <c r="AB56" s="569"/>
      <c r="AC56" s="569"/>
    </row>
    <row r="57" spans="1:29" ht="12.75" customHeight="1">
      <c r="A57" s="545" t="s">
        <v>406</v>
      </c>
      <c r="B57" s="555">
        <f>+E32</f>
        <v>83</v>
      </c>
      <c r="C57" s="555"/>
      <c r="D57" s="555"/>
      <c r="E57" s="556">
        <f t="shared" ref="E57:E58" si="42">+B57+C57+D57</f>
        <v>83</v>
      </c>
      <c r="F57" s="557">
        <f>+F8</f>
        <v>30</v>
      </c>
      <c r="G57" s="558">
        <f>+G8+G16+G24+G32</f>
        <v>4230</v>
      </c>
      <c r="H57" s="559"/>
      <c r="I57" s="555">
        <f>+L32</f>
        <v>73</v>
      </c>
      <c r="J57" s="555"/>
      <c r="K57" s="555"/>
      <c r="L57" s="556">
        <f t="shared" ref="L57:L58" si="43">+I57+J57+K57</f>
        <v>73</v>
      </c>
      <c r="M57" s="557">
        <f>+M8</f>
        <v>50</v>
      </c>
      <c r="N57" s="558">
        <f>+N8+N16+N24+N32</f>
        <v>7400</v>
      </c>
      <c r="O57" s="559"/>
      <c r="P57" s="555">
        <f>+S32</f>
        <v>6</v>
      </c>
      <c r="Q57" s="555"/>
      <c r="R57" s="555"/>
      <c r="S57" s="556">
        <f t="shared" ref="S57:S58" si="44">+P57+Q57+R57</f>
        <v>6</v>
      </c>
      <c r="T57" s="557">
        <f>+T8</f>
        <v>100</v>
      </c>
      <c r="U57" s="558">
        <f>+U8+U16+U24+U32</f>
        <v>1000</v>
      </c>
      <c r="V57" s="559"/>
      <c r="W57" s="560">
        <f>(+G57+N57+U57)*3</f>
        <v>37890</v>
      </c>
      <c r="X57" s="571"/>
      <c r="Y57" s="545"/>
      <c r="Z57" s="569"/>
      <c r="AA57" s="569"/>
      <c r="AB57" s="569"/>
      <c r="AC57" s="569"/>
    </row>
    <row r="58" spans="1:29" ht="12.75" customHeight="1">
      <c r="A58" s="545" t="s">
        <v>407</v>
      </c>
      <c r="B58" s="555">
        <f t="shared" ref="B58" si="45">+E33</f>
        <v>0</v>
      </c>
      <c r="C58" s="555"/>
      <c r="D58" s="555"/>
      <c r="E58" s="556">
        <f t="shared" si="42"/>
        <v>0</v>
      </c>
      <c r="F58" s="557">
        <f t="shared" ref="F58" si="46">+F9</f>
        <v>0</v>
      </c>
      <c r="G58" s="558">
        <f>+G9+G17+G25+G33</f>
        <v>0</v>
      </c>
      <c r="H58" s="559"/>
      <c r="I58" s="555">
        <f t="shared" ref="I58" si="47">+L33</f>
        <v>0</v>
      </c>
      <c r="J58" s="555"/>
      <c r="K58" s="555"/>
      <c r="L58" s="556">
        <f t="shared" si="43"/>
        <v>0</v>
      </c>
      <c r="M58" s="557">
        <f t="shared" ref="M58" si="48">+M9</f>
        <v>0</v>
      </c>
      <c r="N58" s="558">
        <f>+N9+N17+N25+N33</f>
        <v>0</v>
      </c>
      <c r="O58" s="559"/>
      <c r="P58" s="555">
        <f t="shared" ref="P58" si="49">+S33</f>
        <v>0</v>
      </c>
      <c r="Q58" s="555"/>
      <c r="R58" s="555"/>
      <c r="S58" s="556">
        <f t="shared" si="44"/>
        <v>0</v>
      </c>
      <c r="T58" s="557">
        <f t="shared" ref="T58" si="50">+T9</f>
        <v>0</v>
      </c>
      <c r="U58" s="558">
        <f>+U9+U17+U25+U33</f>
        <v>0</v>
      </c>
      <c r="V58" s="559"/>
      <c r="W58" s="560">
        <f>(+G58+N58+U58)*3</f>
        <v>0</v>
      </c>
      <c r="X58" s="571"/>
      <c r="Y58" s="545"/>
      <c r="Z58" s="545"/>
      <c r="AA58" s="545"/>
      <c r="AB58" s="545"/>
      <c r="AC58" s="545"/>
    </row>
    <row r="59" spans="1:29" ht="12.75" customHeight="1">
      <c r="A59" s="545"/>
      <c r="B59" s="559"/>
      <c r="C59" s="559"/>
      <c r="D59" s="559"/>
      <c r="E59" s="559"/>
      <c r="F59" s="559"/>
      <c r="G59" s="562">
        <f>SUM(G56:G58)</f>
        <v>44030</v>
      </c>
      <c r="H59" s="559"/>
      <c r="I59" s="559"/>
      <c r="J59" s="559"/>
      <c r="K59" s="559"/>
      <c r="L59" s="559"/>
      <c r="M59" s="559"/>
      <c r="N59" s="562">
        <f>SUM(N56:N58)</f>
        <v>35300</v>
      </c>
      <c r="O59" s="559"/>
      <c r="P59" s="559"/>
      <c r="Q59" s="559"/>
      <c r="R59" s="559"/>
      <c r="S59" s="559"/>
      <c r="T59" s="559"/>
      <c r="U59" s="562">
        <f>SUM(U56:U58)</f>
        <v>19600</v>
      </c>
      <c r="V59" s="559"/>
      <c r="W59" s="563">
        <f>SUM(W56:W58)</f>
        <v>296790</v>
      </c>
      <c r="X59" s="564">
        <f>+G59*3+N59*3+U59*3-W59</f>
        <v>0</v>
      </c>
      <c r="Y59" s="565"/>
      <c r="Z59" s="545"/>
      <c r="AA59" s="545"/>
      <c r="AB59" s="545"/>
      <c r="AC59" s="545"/>
    </row>
    <row r="60" spans="1:29" ht="12.75" customHeight="1">
      <c r="A60" s="545"/>
      <c r="B60" s="545"/>
      <c r="C60" s="545"/>
      <c r="D60" s="545"/>
      <c r="E60" s="545"/>
      <c r="F60" s="545"/>
      <c r="G60" s="572">
        <f>+G59-G34-G26-G18-G10</f>
        <v>0</v>
      </c>
      <c r="H60" s="545"/>
      <c r="I60" s="545"/>
      <c r="J60" s="545"/>
      <c r="K60" s="545"/>
      <c r="L60" s="545"/>
      <c r="M60" s="545"/>
      <c r="N60" s="572">
        <f>+N59-N34-N26-N18-N10</f>
        <v>0</v>
      </c>
      <c r="O60" s="545"/>
      <c r="P60" s="545"/>
      <c r="Q60" s="545"/>
      <c r="R60" s="545"/>
      <c r="S60" s="545"/>
      <c r="T60" s="545"/>
      <c r="U60" s="572">
        <f>+U59-U34-U26-U18-U10</f>
        <v>0</v>
      </c>
      <c r="V60" s="545"/>
      <c r="W60" s="545"/>
      <c r="X60" s="565">
        <f>+W10+W18+W26+W34-W59</f>
        <v>0</v>
      </c>
      <c r="Y60" s="565"/>
      <c r="Z60" s="545"/>
      <c r="AA60" s="545"/>
      <c r="AB60" s="545"/>
      <c r="AC60" s="545"/>
    </row>
    <row r="61" spans="1:29" ht="12.75" customHeight="1">
      <c r="A61" s="545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</row>
    <row r="62" spans="1:29" ht="12.75" customHeight="1">
      <c r="A62" s="545"/>
      <c r="B62" s="545"/>
      <c r="C62" s="545"/>
      <c r="D62" s="545"/>
      <c r="E62" s="545"/>
      <c r="F62" s="573"/>
      <c r="G62" s="573"/>
      <c r="H62" s="573"/>
      <c r="I62" s="573"/>
      <c r="J62" s="573"/>
      <c r="K62" s="573"/>
      <c r="L62" s="573"/>
      <c r="M62" s="545"/>
      <c r="N62" s="545"/>
      <c r="O62" s="545"/>
      <c r="P62" s="573"/>
      <c r="Q62" s="573"/>
      <c r="R62" s="573"/>
      <c r="S62" s="573"/>
      <c r="T62" s="573"/>
      <c r="U62" s="573"/>
      <c r="V62" s="573"/>
      <c r="W62" s="545"/>
      <c r="X62" s="545"/>
      <c r="Y62" s="545"/>
      <c r="Z62" s="573"/>
      <c r="AA62" s="573"/>
      <c r="AB62" s="573"/>
      <c r="AC62" s="573"/>
    </row>
    <row r="63" spans="1:29" ht="12.75" customHeight="1">
      <c r="A63" s="545"/>
      <c r="B63" s="545"/>
      <c r="C63" s="545"/>
      <c r="D63" s="545"/>
      <c r="E63" s="545"/>
      <c r="F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W63" s="545"/>
      <c r="X63" s="545"/>
      <c r="Y63" s="545"/>
      <c r="Z63" s="545"/>
      <c r="AA63" s="545"/>
      <c r="AB63" s="545"/>
      <c r="AC63" s="545"/>
    </row>
    <row r="64" spans="1:29" ht="12.75" customHeight="1">
      <c r="A64" s="545"/>
      <c r="B64" s="545"/>
      <c r="C64" s="545"/>
      <c r="D64" s="545"/>
      <c r="E64" s="545"/>
      <c r="F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W64" s="545"/>
      <c r="X64" s="545"/>
      <c r="Y64" s="545"/>
      <c r="Z64" s="545"/>
      <c r="AA64" s="545"/>
      <c r="AB64" s="545"/>
      <c r="AC64" s="545"/>
    </row>
    <row r="65" spans="1:29" ht="12.75" customHeight="1">
      <c r="A65" s="545"/>
      <c r="B65" s="545"/>
      <c r="C65" s="545"/>
      <c r="D65" s="545"/>
      <c r="E65" s="545"/>
      <c r="F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W65" s="545"/>
      <c r="X65" s="545"/>
      <c r="Y65" s="545"/>
      <c r="Z65" s="545"/>
      <c r="AA65" s="545"/>
      <c r="AB65" s="545"/>
      <c r="AC65" s="545"/>
    </row>
    <row r="66" spans="1:29" ht="12.75" customHeight="1">
      <c r="A66" s="545"/>
      <c r="B66" s="545"/>
      <c r="C66" s="545"/>
      <c r="D66" s="545"/>
      <c r="E66" s="545"/>
      <c r="F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W66" s="545"/>
      <c r="X66" s="545"/>
      <c r="Y66" s="545"/>
      <c r="Z66" s="545"/>
      <c r="AA66" s="545"/>
      <c r="AB66" s="545"/>
      <c r="AC66" s="545"/>
    </row>
    <row r="67" spans="1:29" ht="12.75" customHeight="1">
      <c r="A67" s="545"/>
      <c r="B67" s="545"/>
      <c r="C67" s="545"/>
      <c r="D67" s="545"/>
      <c r="E67" s="545"/>
      <c r="F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W67" s="545"/>
      <c r="X67" s="545"/>
      <c r="Y67" s="545"/>
      <c r="Z67" s="545"/>
      <c r="AA67" s="545"/>
      <c r="AB67" s="545"/>
      <c r="AC67" s="545"/>
    </row>
    <row r="68" spans="1:29" ht="12.75" customHeight="1">
      <c r="A68" s="545"/>
      <c r="B68" s="545"/>
      <c r="C68" s="545"/>
      <c r="D68" s="545"/>
      <c r="E68" s="545"/>
      <c r="F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W68" s="545"/>
      <c r="X68" s="545"/>
      <c r="Y68" s="545"/>
      <c r="Z68" s="545"/>
      <c r="AA68" s="545"/>
      <c r="AB68" s="545"/>
      <c r="AC68" s="545"/>
    </row>
    <row r="69" spans="1:29" ht="12.75" customHeight="1">
      <c r="A69" s="545"/>
      <c r="B69" s="545"/>
      <c r="C69" s="545"/>
      <c r="D69" s="545"/>
      <c r="E69" s="545"/>
      <c r="F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W69" s="545"/>
      <c r="X69" s="545"/>
      <c r="Y69" s="545"/>
      <c r="Z69" s="545"/>
      <c r="AA69" s="545"/>
      <c r="AB69" s="545"/>
      <c r="AC69" s="545"/>
    </row>
    <row r="70" spans="1:29" ht="12.75" customHeight="1">
      <c r="A70" s="545"/>
      <c r="B70" s="545"/>
      <c r="C70" s="545"/>
      <c r="D70" s="545"/>
      <c r="E70" s="545"/>
      <c r="F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W70" s="545"/>
      <c r="X70" s="545"/>
      <c r="Y70" s="545"/>
      <c r="Z70" s="545"/>
      <c r="AA70" s="545"/>
      <c r="AB70" s="545"/>
      <c r="AC70" s="545"/>
    </row>
    <row r="71" spans="1:29" ht="12.75" customHeight="1">
      <c r="A71" s="545"/>
      <c r="B71" s="545"/>
      <c r="C71" s="545"/>
      <c r="D71" s="545"/>
      <c r="E71" s="545"/>
      <c r="F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W71" s="545"/>
      <c r="X71" s="545"/>
      <c r="Y71" s="545"/>
      <c r="Z71" s="545"/>
      <c r="AA71" s="545"/>
      <c r="AB71" s="545"/>
      <c r="AC71" s="545"/>
    </row>
    <row r="72" spans="1:29" ht="12.75" customHeight="1">
      <c r="A72" s="545"/>
      <c r="B72" s="545"/>
      <c r="C72" s="545"/>
      <c r="D72" s="545"/>
      <c r="E72" s="545"/>
      <c r="F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W72" s="545"/>
      <c r="X72" s="545"/>
      <c r="Y72" s="545"/>
      <c r="Z72" s="545"/>
      <c r="AA72" s="545"/>
      <c r="AB72" s="545"/>
      <c r="AC72" s="545"/>
    </row>
    <row r="73" spans="1:29" ht="12.75" customHeight="1">
      <c r="A73" s="545"/>
      <c r="B73" s="545"/>
      <c r="C73" s="545"/>
      <c r="D73" s="545"/>
      <c r="E73" s="545"/>
      <c r="F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W73" s="545"/>
      <c r="X73" s="545"/>
      <c r="Y73" s="545"/>
      <c r="Z73" s="545"/>
      <c r="AA73" s="545"/>
      <c r="AB73" s="545"/>
      <c r="AC73" s="545"/>
    </row>
    <row r="74" spans="1:29" ht="12.75" customHeight="1">
      <c r="A74" s="545"/>
      <c r="B74" s="545"/>
      <c r="C74" s="545"/>
      <c r="D74" s="545"/>
      <c r="E74" s="545"/>
      <c r="F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W74" s="545"/>
      <c r="X74" s="545"/>
      <c r="Y74" s="545"/>
      <c r="Z74" s="545"/>
      <c r="AA74" s="545"/>
      <c r="AB74" s="545"/>
      <c r="AC74" s="545"/>
    </row>
    <row r="75" spans="1:29" ht="12.75" customHeight="1">
      <c r="A75" s="545"/>
      <c r="B75" s="545"/>
      <c r="C75" s="545"/>
      <c r="D75" s="545"/>
      <c r="E75" s="545"/>
      <c r="F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W75" s="545"/>
      <c r="X75" s="545"/>
      <c r="Y75" s="545"/>
      <c r="Z75" s="545"/>
      <c r="AA75" s="545"/>
      <c r="AB75" s="545"/>
      <c r="AC75" s="545"/>
    </row>
    <row r="76" spans="1:29" ht="12.75" customHeight="1">
      <c r="A76" s="545"/>
      <c r="B76" s="545"/>
      <c r="C76" s="545"/>
      <c r="D76" s="545"/>
      <c r="E76" s="545"/>
      <c r="F76" s="545"/>
      <c r="H76" s="545"/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5"/>
      <c r="W76" s="545"/>
      <c r="X76" s="545"/>
      <c r="Y76" s="545"/>
      <c r="Z76" s="545"/>
      <c r="AA76" s="545"/>
      <c r="AB76" s="545"/>
      <c r="AC76" s="545"/>
    </row>
    <row r="77" spans="1:29" ht="12.75" customHeight="1">
      <c r="A77" s="545"/>
      <c r="B77" s="545"/>
      <c r="C77" s="545"/>
      <c r="D77" s="545"/>
      <c r="E77" s="545"/>
      <c r="F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W77" s="545"/>
      <c r="X77" s="545"/>
      <c r="Y77" s="545"/>
      <c r="Z77" s="545"/>
      <c r="AA77" s="545"/>
      <c r="AB77" s="545"/>
      <c r="AC77" s="545"/>
    </row>
    <row r="78" spans="1:29" ht="12.75" customHeight="1">
      <c r="A78" s="545"/>
      <c r="B78" s="545"/>
      <c r="C78" s="545"/>
      <c r="D78" s="545"/>
      <c r="E78" s="545"/>
      <c r="F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W78" s="545"/>
      <c r="X78" s="545"/>
      <c r="Y78" s="545"/>
      <c r="Z78" s="545"/>
      <c r="AA78" s="545"/>
      <c r="AB78" s="545"/>
      <c r="AC78" s="545"/>
    </row>
    <row r="79" spans="1:29" ht="12.75" customHeight="1">
      <c r="A79" s="545"/>
      <c r="B79" s="545"/>
      <c r="C79" s="545"/>
      <c r="D79" s="545"/>
      <c r="E79" s="545"/>
      <c r="F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W79" s="545"/>
      <c r="X79" s="545"/>
      <c r="Y79" s="545"/>
      <c r="Z79" s="545"/>
      <c r="AA79" s="545"/>
      <c r="AB79" s="545"/>
      <c r="AC79" s="545"/>
    </row>
    <row r="80" spans="1:29" ht="12.75" customHeight="1">
      <c r="A80" s="545"/>
      <c r="B80" s="545"/>
      <c r="C80" s="545"/>
      <c r="D80" s="545"/>
      <c r="E80" s="545"/>
      <c r="F80" s="545"/>
      <c r="H80" s="545"/>
      <c r="I80" s="545"/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W80" s="545"/>
      <c r="X80" s="545"/>
      <c r="Y80" s="545"/>
      <c r="Z80" s="545"/>
      <c r="AA80" s="545"/>
      <c r="AB80" s="545"/>
      <c r="AC80" s="545"/>
    </row>
    <row r="81" spans="1:29" ht="12.75" customHeight="1">
      <c r="A81" s="545"/>
      <c r="B81" s="545"/>
      <c r="C81" s="545"/>
      <c r="D81" s="545"/>
      <c r="E81" s="545"/>
      <c r="F81" s="545"/>
      <c r="H81" s="545"/>
      <c r="I81" s="545"/>
      <c r="J81" s="545"/>
      <c r="K81" s="545"/>
      <c r="L81" s="545"/>
      <c r="M81" s="545"/>
      <c r="N81" s="545"/>
      <c r="O81" s="545"/>
      <c r="P81" s="545"/>
      <c r="Q81" s="545"/>
      <c r="R81" s="545"/>
      <c r="S81" s="545"/>
      <c r="W81" s="545"/>
      <c r="X81" s="545"/>
      <c r="Y81" s="545"/>
      <c r="Z81" s="545"/>
      <c r="AA81" s="545"/>
      <c r="AB81" s="545"/>
      <c r="AC81" s="545"/>
    </row>
    <row r="82" spans="1:29" ht="12.75" customHeight="1">
      <c r="A82" s="545"/>
      <c r="B82" s="545"/>
      <c r="C82" s="545"/>
      <c r="D82" s="545"/>
      <c r="E82" s="545"/>
      <c r="F82" s="545"/>
      <c r="H82" s="545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W82" s="545"/>
      <c r="X82" s="545"/>
      <c r="Y82" s="545"/>
      <c r="Z82" s="545"/>
      <c r="AA82" s="545"/>
      <c r="AB82" s="545"/>
      <c r="AC82" s="545"/>
    </row>
    <row r="83" spans="1:29" ht="12.75" customHeight="1">
      <c r="A83" s="545"/>
      <c r="B83" s="545"/>
      <c r="C83" s="545"/>
      <c r="D83" s="545"/>
      <c r="E83" s="545"/>
      <c r="F83" s="545"/>
      <c r="H83" s="545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5"/>
      <c r="W83" s="545"/>
      <c r="X83" s="545"/>
      <c r="Y83" s="545"/>
      <c r="Z83" s="545"/>
      <c r="AA83" s="545"/>
      <c r="AB83" s="545"/>
      <c r="AC83" s="545"/>
    </row>
    <row r="84" spans="1:29" ht="12.75" customHeight="1">
      <c r="A84" s="545"/>
      <c r="B84" s="545"/>
      <c r="C84" s="545"/>
      <c r="D84" s="545"/>
      <c r="E84" s="545"/>
      <c r="F84" s="545"/>
      <c r="H84" s="545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5"/>
      <c r="W84" s="545"/>
      <c r="X84" s="545"/>
      <c r="Y84" s="545"/>
      <c r="Z84" s="545"/>
      <c r="AA84" s="545"/>
      <c r="AB84" s="545"/>
      <c r="AC84" s="545"/>
    </row>
    <row r="85" spans="1:29" ht="12.75" customHeight="1">
      <c r="A85" s="545"/>
      <c r="B85" s="545"/>
      <c r="C85" s="545"/>
      <c r="D85" s="545"/>
      <c r="E85" s="545"/>
      <c r="F85" s="545"/>
      <c r="H85" s="545"/>
      <c r="I85" s="545"/>
      <c r="J85" s="545"/>
      <c r="K85" s="545"/>
      <c r="L85" s="545"/>
      <c r="M85" s="545"/>
      <c r="N85" s="545"/>
      <c r="O85" s="545"/>
      <c r="P85" s="545"/>
      <c r="Q85" s="545"/>
      <c r="R85" s="545"/>
      <c r="S85" s="545"/>
      <c r="W85" s="545"/>
      <c r="X85" s="545"/>
      <c r="Y85" s="545"/>
      <c r="Z85" s="545"/>
      <c r="AA85" s="545"/>
      <c r="AB85" s="545"/>
      <c r="AC85" s="545"/>
    </row>
    <row r="86" spans="1:29" ht="12.75" customHeight="1">
      <c r="A86" s="545"/>
      <c r="B86" s="545"/>
      <c r="C86" s="545"/>
      <c r="D86" s="545"/>
      <c r="E86" s="545"/>
      <c r="F86" s="545"/>
      <c r="H86" s="545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5"/>
      <c r="W86" s="545"/>
      <c r="X86" s="545"/>
      <c r="Y86" s="545"/>
      <c r="Z86" s="545"/>
      <c r="AA86" s="545"/>
      <c r="AB86" s="545"/>
      <c r="AC86" s="545"/>
    </row>
    <row r="87" spans="1:29" ht="12.75" customHeight="1">
      <c r="A87" s="545"/>
      <c r="B87" s="545"/>
      <c r="C87" s="545"/>
      <c r="D87" s="545"/>
      <c r="E87" s="545"/>
      <c r="F87" s="545"/>
      <c r="H87" s="545"/>
      <c r="I87" s="545"/>
      <c r="J87" s="545"/>
      <c r="K87" s="545"/>
      <c r="L87" s="545"/>
      <c r="M87" s="545"/>
      <c r="N87" s="545"/>
      <c r="O87" s="545"/>
      <c r="P87" s="545"/>
      <c r="Q87" s="545"/>
      <c r="R87" s="545"/>
      <c r="S87" s="545"/>
      <c r="W87" s="545"/>
      <c r="X87" s="545"/>
      <c r="Y87" s="545"/>
      <c r="Z87" s="545"/>
      <c r="AA87" s="545"/>
      <c r="AB87" s="545"/>
      <c r="AC87" s="545"/>
    </row>
    <row r="88" spans="1:29" ht="12.75" customHeight="1">
      <c r="A88" s="545"/>
      <c r="B88" s="545"/>
      <c r="C88" s="545"/>
      <c r="D88" s="545"/>
      <c r="E88" s="545"/>
      <c r="F88" s="545"/>
      <c r="H88" s="545"/>
      <c r="I88" s="545"/>
      <c r="J88" s="545"/>
      <c r="K88" s="545"/>
      <c r="L88" s="545"/>
      <c r="M88" s="545"/>
      <c r="N88" s="545"/>
      <c r="O88" s="545"/>
      <c r="P88" s="545"/>
      <c r="Q88" s="545"/>
      <c r="R88" s="545"/>
      <c r="S88" s="545"/>
      <c r="W88" s="545"/>
      <c r="X88" s="545"/>
      <c r="Y88" s="545"/>
      <c r="Z88" s="545"/>
      <c r="AA88" s="545"/>
      <c r="AB88" s="545"/>
      <c r="AC88" s="545"/>
    </row>
    <row r="89" spans="1:29" ht="12.75" customHeight="1">
      <c r="A89" s="545"/>
      <c r="B89" s="545"/>
      <c r="C89" s="545"/>
      <c r="D89" s="545"/>
      <c r="E89" s="545"/>
      <c r="F89" s="545"/>
      <c r="H89" s="545"/>
      <c r="I89" s="545"/>
      <c r="J89" s="545"/>
      <c r="K89" s="545"/>
      <c r="L89" s="545"/>
      <c r="M89" s="545"/>
      <c r="N89" s="545"/>
      <c r="O89" s="545"/>
      <c r="P89" s="545"/>
      <c r="Q89" s="545"/>
      <c r="R89" s="545"/>
      <c r="S89" s="545"/>
      <c r="W89" s="545"/>
      <c r="X89" s="545"/>
      <c r="Y89" s="545"/>
      <c r="Z89" s="545"/>
      <c r="AA89" s="545"/>
      <c r="AB89" s="545"/>
      <c r="AC89" s="545"/>
    </row>
    <row r="90" spans="1:29" ht="12.75" customHeight="1">
      <c r="A90" s="545"/>
      <c r="B90" s="545"/>
      <c r="C90" s="545"/>
      <c r="D90" s="545"/>
      <c r="E90" s="545"/>
      <c r="F90" s="545"/>
      <c r="H90" s="545"/>
      <c r="I90" s="545"/>
      <c r="J90" s="545"/>
      <c r="K90" s="545"/>
      <c r="L90" s="545"/>
      <c r="M90" s="545"/>
      <c r="N90" s="545"/>
      <c r="O90" s="545"/>
      <c r="P90" s="545"/>
      <c r="Q90" s="545"/>
      <c r="R90" s="545"/>
      <c r="S90" s="545"/>
      <c r="W90" s="545"/>
      <c r="X90" s="545"/>
      <c r="Y90" s="545"/>
      <c r="Z90" s="545"/>
      <c r="AA90" s="545"/>
      <c r="AB90" s="545"/>
      <c r="AC90" s="545"/>
    </row>
    <row r="91" spans="1:29" ht="12.75" customHeight="1">
      <c r="A91" s="545"/>
      <c r="B91" s="545"/>
      <c r="C91" s="545"/>
      <c r="D91" s="545"/>
      <c r="E91" s="545"/>
      <c r="F91" s="545"/>
      <c r="H91" s="545"/>
      <c r="I91" s="545"/>
      <c r="J91" s="545"/>
      <c r="K91" s="545"/>
      <c r="L91" s="545"/>
      <c r="M91" s="545"/>
      <c r="N91" s="545"/>
      <c r="O91" s="545"/>
      <c r="P91" s="545"/>
      <c r="Q91" s="545"/>
      <c r="R91" s="545"/>
      <c r="S91" s="545"/>
      <c r="W91" s="545"/>
      <c r="X91" s="545"/>
      <c r="Y91" s="545"/>
      <c r="Z91" s="545"/>
      <c r="AA91" s="545"/>
      <c r="AB91" s="545"/>
      <c r="AC91" s="545"/>
    </row>
    <row r="92" spans="1:29" ht="12.75" customHeight="1">
      <c r="A92" s="545"/>
      <c r="B92" s="545"/>
      <c r="C92" s="545"/>
      <c r="D92" s="545"/>
      <c r="E92" s="545"/>
      <c r="F92" s="545"/>
      <c r="H92" s="545"/>
      <c r="I92" s="545"/>
      <c r="J92" s="545"/>
      <c r="K92" s="545"/>
      <c r="L92" s="545"/>
      <c r="M92" s="545"/>
      <c r="N92" s="545"/>
      <c r="O92" s="545"/>
      <c r="P92" s="545"/>
      <c r="Q92" s="545"/>
      <c r="R92" s="545"/>
      <c r="S92" s="545"/>
      <c r="W92" s="545"/>
      <c r="X92" s="545"/>
      <c r="Y92" s="545"/>
      <c r="Z92" s="545"/>
      <c r="AA92" s="545"/>
      <c r="AB92" s="545"/>
      <c r="AC92" s="545"/>
    </row>
    <row r="93" spans="1:29" ht="12.75" customHeight="1">
      <c r="A93" s="545"/>
      <c r="B93" s="545"/>
      <c r="C93" s="545"/>
      <c r="D93" s="545"/>
      <c r="E93" s="545"/>
      <c r="F93" s="545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W93" s="545"/>
      <c r="X93" s="545"/>
      <c r="Y93" s="545"/>
      <c r="Z93" s="545"/>
      <c r="AA93" s="545"/>
      <c r="AB93" s="545"/>
      <c r="AC93" s="545"/>
    </row>
    <row r="94" spans="1:29" ht="12.75" customHeight="1">
      <c r="A94" s="545"/>
      <c r="B94" s="545"/>
      <c r="C94" s="545"/>
      <c r="D94" s="545"/>
      <c r="E94" s="545"/>
      <c r="F94" s="545"/>
      <c r="H94" s="545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W94" s="545"/>
      <c r="X94" s="545"/>
      <c r="Y94" s="545"/>
      <c r="Z94" s="545"/>
      <c r="AA94" s="545"/>
      <c r="AB94" s="545"/>
      <c r="AC94" s="545"/>
    </row>
    <row r="95" spans="1:29" ht="12.75" customHeight="1">
      <c r="A95" s="545"/>
      <c r="B95" s="545"/>
      <c r="C95" s="545"/>
      <c r="D95" s="545"/>
      <c r="E95" s="545"/>
      <c r="F95" s="545"/>
      <c r="H95" s="545"/>
      <c r="I95" s="545"/>
      <c r="J95" s="545"/>
      <c r="K95" s="545"/>
      <c r="L95" s="545"/>
      <c r="M95" s="545"/>
      <c r="N95" s="545"/>
      <c r="O95" s="545"/>
      <c r="P95" s="545"/>
      <c r="Q95" s="545"/>
      <c r="R95" s="545"/>
      <c r="S95" s="545"/>
      <c r="W95" s="545"/>
      <c r="X95" s="545"/>
      <c r="Y95" s="545"/>
      <c r="Z95" s="545"/>
      <c r="AA95" s="545"/>
      <c r="AB95" s="545"/>
      <c r="AC95" s="545"/>
    </row>
    <row r="96" spans="1:29" ht="12.75" customHeight="1">
      <c r="A96" s="545"/>
      <c r="B96" s="545"/>
      <c r="C96" s="545"/>
      <c r="D96" s="545"/>
      <c r="E96" s="545"/>
      <c r="F96" s="545"/>
      <c r="H96" s="545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5"/>
      <c r="W96" s="545"/>
      <c r="X96" s="545"/>
      <c r="Y96" s="545"/>
      <c r="Z96" s="545"/>
      <c r="AA96" s="545"/>
      <c r="AB96" s="545"/>
      <c r="AC96" s="545"/>
    </row>
    <row r="97" spans="1:29" ht="12.75" customHeight="1">
      <c r="A97" s="545"/>
      <c r="B97" s="545"/>
      <c r="C97" s="545"/>
      <c r="D97" s="545"/>
      <c r="E97" s="545"/>
      <c r="F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W97" s="545"/>
      <c r="X97" s="545"/>
      <c r="Y97" s="545"/>
      <c r="Z97" s="545"/>
      <c r="AA97" s="545"/>
      <c r="AB97" s="545"/>
      <c r="AC97" s="545"/>
    </row>
    <row r="98" spans="1:29" ht="12.75" customHeight="1">
      <c r="A98" s="545"/>
      <c r="B98" s="545"/>
      <c r="C98" s="545"/>
      <c r="D98" s="545"/>
      <c r="E98" s="545"/>
      <c r="F98" s="545"/>
      <c r="H98" s="545"/>
      <c r="I98" s="545"/>
      <c r="J98" s="545"/>
      <c r="K98" s="545"/>
      <c r="L98" s="545"/>
      <c r="M98" s="545"/>
      <c r="N98" s="545"/>
      <c r="O98" s="545"/>
      <c r="P98" s="545"/>
      <c r="Q98" s="545"/>
      <c r="R98" s="545"/>
      <c r="S98" s="545"/>
      <c r="W98" s="545"/>
      <c r="X98" s="545"/>
      <c r="Y98" s="545"/>
      <c r="Z98" s="545"/>
      <c r="AA98" s="545"/>
      <c r="AB98" s="545"/>
      <c r="AC98" s="545"/>
    </row>
    <row r="99" spans="1:29" ht="12.75" customHeight="1">
      <c r="A99" s="545"/>
      <c r="B99" s="545"/>
      <c r="C99" s="545"/>
      <c r="D99" s="545"/>
      <c r="E99" s="545"/>
      <c r="F99" s="545"/>
      <c r="H99" s="545"/>
      <c r="I99" s="545"/>
      <c r="J99" s="545"/>
      <c r="K99" s="545"/>
      <c r="L99" s="545"/>
      <c r="M99" s="545"/>
      <c r="N99" s="545"/>
      <c r="O99" s="545"/>
      <c r="P99" s="545"/>
      <c r="Q99" s="545"/>
      <c r="R99" s="545"/>
      <c r="S99" s="545"/>
      <c r="W99" s="545"/>
      <c r="X99" s="545"/>
      <c r="Y99" s="545"/>
      <c r="Z99" s="545"/>
      <c r="AA99" s="545"/>
      <c r="AB99" s="545"/>
      <c r="AC99" s="545"/>
    </row>
    <row r="100" spans="1:29" ht="12.75" customHeight="1">
      <c r="A100" s="545"/>
      <c r="B100" s="545"/>
      <c r="C100" s="545"/>
      <c r="D100" s="545"/>
      <c r="E100" s="545"/>
      <c r="F100" s="545"/>
      <c r="H100" s="545"/>
      <c r="I100" s="545"/>
      <c r="J100" s="545"/>
      <c r="K100" s="545"/>
      <c r="L100" s="545"/>
      <c r="M100" s="545"/>
      <c r="N100" s="545"/>
      <c r="O100" s="545"/>
      <c r="P100" s="545"/>
      <c r="Q100" s="545"/>
      <c r="R100" s="545"/>
      <c r="S100" s="545"/>
      <c r="W100" s="545"/>
      <c r="X100" s="545"/>
      <c r="Y100" s="545"/>
      <c r="Z100" s="545"/>
      <c r="AA100" s="545"/>
      <c r="AB100" s="545"/>
      <c r="AC100" s="545"/>
    </row>
    <row r="101" spans="1:29" ht="12.75" customHeight="1">
      <c r="A101" s="545"/>
      <c r="B101" s="545"/>
      <c r="C101" s="545"/>
      <c r="D101" s="545"/>
      <c r="E101" s="545"/>
      <c r="F101" s="545"/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5"/>
      <c r="W101" s="545"/>
      <c r="X101" s="545"/>
      <c r="Y101" s="545"/>
      <c r="Z101" s="545"/>
      <c r="AA101" s="545"/>
      <c r="AB101" s="545"/>
      <c r="AC101" s="545"/>
    </row>
    <row r="102" spans="1:29" ht="12.75" customHeight="1">
      <c r="A102" s="545"/>
      <c r="B102" s="545"/>
      <c r="C102" s="545"/>
      <c r="D102" s="545"/>
      <c r="E102" s="545"/>
      <c r="F102" s="545"/>
      <c r="H102" s="545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W102" s="545"/>
      <c r="X102" s="545"/>
      <c r="Y102" s="545"/>
      <c r="Z102" s="545"/>
      <c r="AA102" s="545"/>
      <c r="AB102" s="545"/>
      <c r="AC102" s="545"/>
    </row>
    <row r="103" spans="1:29" ht="12.75" customHeight="1">
      <c r="A103" s="545"/>
      <c r="B103" s="545"/>
      <c r="C103" s="545"/>
      <c r="D103" s="545"/>
      <c r="E103" s="545"/>
      <c r="F103" s="545"/>
      <c r="H103" s="545"/>
      <c r="I103" s="545"/>
      <c r="J103" s="545"/>
      <c r="K103" s="545"/>
      <c r="L103" s="545"/>
      <c r="M103" s="545"/>
      <c r="N103" s="545"/>
      <c r="O103" s="545"/>
      <c r="P103" s="545"/>
      <c r="Q103" s="545"/>
      <c r="R103" s="545"/>
      <c r="S103" s="545"/>
      <c r="W103" s="545"/>
      <c r="X103" s="545"/>
      <c r="Y103" s="545"/>
      <c r="Z103" s="545"/>
      <c r="AA103" s="545"/>
      <c r="AB103" s="545"/>
      <c r="AC103" s="545"/>
    </row>
    <row r="104" spans="1:29" ht="12.75" customHeight="1">
      <c r="A104" s="545"/>
      <c r="B104" s="545"/>
      <c r="C104" s="545"/>
      <c r="D104" s="545"/>
      <c r="E104" s="545"/>
      <c r="F104" s="545"/>
      <c r="H104" s="545"/>
      <c r="I104" s="545"/>
      <c r="J104" s="545"/>
      <c r="K104" s="545"/>
      <c r="L104" s="545"/>
      <c r="M104" s="545"/>
      <c r="N104" s="545"/>
      <c r="O104" s="545"/>
      <c r="P104" s="545"/>
      <c r="Q104" s="545"/>
      <c r="R104" s="545"/>
      <c r="S104" s="545"/>
      <c r="W104" s="545"/>
      <c r="X104" s="545"/>
      <c r="Y104" s="545"/>
      <c r="Z104" s="545"/>
      <c r="AA104" s="545"/>
      <c r="AB104" s="545"/>
      <c r="AC104" s="545"/>
    </row>
    <row r="105" spans="1:29" ht="12.75" customHeight="1">
      <c r="A105" s="545"/>
      <c r="B105" s="545"/>
      <c r="C105" s="545"/>
      <c r="D105" s="545"/>
      <c r="E105" s="545"/>
      <c r="F105" s="545"/>
      <c r="H105" s="545"/>
      <c r="I105" s="545"/>
      <c r="J105" s="545"/>
      <c r="K105" s="545"/>
      <c r="L105" s="545"/>
      <c r="M105" s="545"/>
      <c r="N105" s="545"/>
      <c r="O105" s="545"/>
      <c r="P105" s="545"/>
      <c r="Q105" s="545"/>
      <c r="R105" s="545"/>
      <c r="S105" s="545"/>
      <c r="W105" s="545"/>
      <c r="X105" s="545"/>
      <c r="Y105" s="545"/>
      <c r="Z105" s="545"/>
      <c r="AA105" s="545"/>
      <c r="AB105" s="545"/>
      <c r="AC105" s="545"/>
    </row>
    <row r="106" spans="1:29" ht="12.75" customHeight="1">
      <c r="A106" s="545"/>
      <c r="B106" s="545"/>
      <c r="C106" s="545"/>
      <c r="D106" s="545"/>
      <c r="E106" s="545"/>
      <c r="F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W106" s="545"/>
      <c r="X106" s="545"/>
      <c r="Y106" s="545"/>
      <c r="Z106" s="545"/>
      <c r="AA106" s="545"/>
      <c r="AB106" s="545"/>
      <c r="AC106" s="545"/>
    </row>
    <row r="107" spans="1:29" ht="12.75" customHeight="1">
      <c r="A107" s="545"/>
      <c r="B107" s="545"/>
      <c r="C107" s="545"/>
      <c r="D107" s="545"/>
      <c r="E107" s="545"/>
      <c r="F107" s="545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W107" s="545"/>
      <c r="X107" s="545"/>
      <c r="Y107" s="545"/>
      <c r="Z107" s="545"/>
      <c r="AA107" s="545"/>
      <c r="AB107" s="545"/>
      <c r="AC107" s="545"/>
    </row>
    <row r="108" spans="1:29" ht="12.75" customHeight="1">
      <c r="A108" s="545"/>
      <c r="B108" s="545"/>
      <c r="C108" s="545"/>
      <c r="D108" s="545"/>
      <c r="E108" s="545"/>
      <c r="F108" s="545"/>
      <c r="H108" s="545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W108" s="545"/>
      <c r="X108" s="545"/>
      <c r="Y108" s="545"/>
      <c r="Z108" s="545"/>
      <c r="AA108" s="545"/>
      <c r="AB108" s="545"/>
      <c r="AC108" s="545"/>
    </row>
    <row r="109" spans="1:29" ht="12.75" customHeight="1">
      <c r="A109" s="545"/>
      <c r="B109" s="545"/>
      <c r="C109" s="545"/>
      <c r="D109" s="545"/>
      <c r="E109" s="545"/>
      <c r="F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W109" s="545"/>
      <c r="X109" s="545"/>
      <c r="Y109" s="545"/>
      <c r="Z109" s="545"/>
      <c r="AA109" s="545"/>
      <c r="AB109" s="545"/>
      <c r="AC109" s="545"/>
    </row>
    <row r="110" spans="1:29" ht="12.75" customHeight="1">
      <c r="A110" s="545"/>
      <c r="B110" s="545"/>
      <c r="C110" s="545"/>
      <c r="D110" s="545"/>
      <c r="E110" s="545"/>
      <c r="F110" s="545"/>
      <c r="H110" s="545"/>
      <c r="I110" s="545"/>
      <c r="J110" s="545"/>
      <c r="K110" s="545"/>
      <c r="L110" s="545"/>
      <c r="M110" s="545"/>
      <c r="N110" s="545"/>
      <c r="O110" s="545"/>
      <c r="P110" s="545"/>
      <c r="Q110" s="545"/>
      <c r="R110" s="545"/>
      <c r="S110" s="545"/>
      <c r="W110" s="545"/>
      <c r="X110" s="545"/>
      <c r="Y110" s="545"/>
      <c r="Z110" s="545"/>
      <c r="AA110" s="545"/>
      <c r="AB110" s="545"/>
      <c r="AC110" s="545"/>
    </row>
    <row r="111" spans="1:29" ht="12.75" customHeight="1">
      <c r="A111" s="545"/>
      <c r="B111" s="545"/>
      <c r="C111" s="545"/>
      <c r="D111" s="545"/>
      <c r="E111" s="545"/>
      <c r="F111" s="545"/>
      <c r="H111" s="545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W111" s="545"/>
      <c r="X111" s="545"/>
      <c r="Y111" s="545"/>
      <c r="Z111" s="545"/>
      <c r="AA111" s="545"/>
      <c r="AB111" s="545"/>
      <c r="AC111" s="545"/>
    </row>
    <row r="112" spans="1:29" ht="12.75" customHeight="1">
      <c r="A112" s="545"/>
      <c r="B112" s="545"/>
      <c r="C112" s="545"/>
      <c r="D112" s="545"/>
      <c r="E112" s="545"/>
      <c r="F112" s="545"/>
      <c r="H112" s="545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W112" s="545"/>
      <c r="X112" s="545"/>
      <c r="Y112" s="545"/>
      <c r="Z112" s="545"/>
      <c r="AA112" s="545"/>
      <c r="AB112" s="545"/>
      <c r="AC112" s="545"/>
    </row>
    <row r="113" spans="1:29" ht="12.75" customHeight="1">
      <c r="A113" s="545"/>
      <c r="B113" s="545"/>
      <c r="C113" s="545"/>
      <c r="D113" s="545"/>
      <c r="E113" s="545"/>
      <c r="F113" s="545"/>
      <c r="H113" s="545"/>
      <c r="I113" s="545"/>
      <c r="J113" s="545"/>
      <c r="K113" s="545"/>
      <c r="L113" s="545"/>
      <c r="M113" s="545"/>
      <c r="N113" s="545"/>
      <c r="O113" s="545"/>
      <c r="P113" s="545"/>
      <c r="Q113" s="545"/>
      <c r="R113" s="545"/>
      <c r="S113" s="545"/>
      <c r="W113" s="545"/>
      <c r="X113" s="545"/>
      <c r="Y113" s="545"/>
      <c r="Z113" s="545"/>
      <c r="AA113" s="545"/>
      <c r="AB113" s="545"/>
      <c r="AC113" s="545"/>
    </row>
    <row r="114" spans="1:29" ht="12.75" customHeight="1">
      <c r="A114" s="545"/>
      <c r="B114" s="545"/>
      <c r="C114" s="545"/>
      <c r="D114" s="545"/>
      <c r="E114" s="545"/>
      <c r="F114" s="545"/>
      <c r="H114" s="545"/>
      <c r="I114" s="545"/>
      <c r="J114" s="545"/>
      <c r="K114" s="545"/>
      <c r="L114" s="545"/>
      <c r="M114" s="545"/>
      <c r="N114" s="545"/>
      <c r="O114" s="545"/>
      <c r="P114" s="545"/>
      <c r="Q114" s="545"/>
      <c r="R114" s="545"/>
      <c r="S114" s="545"/>
      <c r="W114" s="545"/>
      <c r="X114" s="545"/>
      <c r="Y114" s="545"/>
      <c r="Z114" s="545"/>
      <c r="AA114" s="545"/>
      <c r="AB114" s="545"/>
      <c r="AC114" s="545"/>
    </row>
    <row r="115" spans="1:29" ht="12.75" customHeight="1">
      <c r="A115" s="545"/>
      <c r="B115" s="545"/>
      <c r="C115" s="545"/>
      <c r="D115" s="545"/>
      <c r="E115" s="545"/>
      <c r="F115" s="545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  <c r="W115" s="545"/>
      <c r="X115" s="545"/>
      <c r="Y115" s="545"/>
      <c r="Z115" s="545"/>
      <c r="AA115" s="545"/>
      <c r="AB115" s="545"/>
      <c r="AC115" s="545"/>
    </row>
    <row r="116" spans="1:29" ht="12.75" customHeight="1">
      <c r="A116" s="545"/>
      <c r="B116" s="545"/>
      <c r="C116" s="545"/>
      <c r="D116" s="545"/>
      <c r="E116" s="545"/>
      <c r="F116" s="545"/>
      <c r="H116" s="545"/>
      <c r="I116" s="545"/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W116" s="545"/>
      <c r="X116" s="545"/>
      <c r="Y116" s="545"/>
      <c r="Z116" s="545"/>
      <c r="AA116" s="545"/>
      <c r="AB116" s="545"/>
      <c r="AC116" s="545"/>
    </row>
    <row r="117" spans="1:29" ht="12.75" customHeight="1">
      <c r="A117" s="545"/>
      <c r="B117" s="545"/>
      <c r="C117" s="545"/>
      <c r="D117" s="545"/>
      <c r="E117" s="545"/>
      <c r="F117" s="545"/>
      <c r="H117" s="545"/>
      <c r="I117" s="545"/>
      <c r="J117" s="545"/>
      <c r="K117" s="545"/>
      <c r="L117" s="545"/>
      <c r="M117" s="545"/>
      <c r="N117" s="545"/>
      <c r="O117" s="545"/>
      <c r="P117" s="545"/>
      <c r="Q117" s="545"/>
      <c r="R117" s="545"/>
      <c r="S117" s="545"/>
      <c r="W117" s="545"/>
      <c r="X117" s="545"/>
      <c r="Y117" s="545"/>
      <c r="Z117" s="545"/>
      <c r="AA117" s="545"/>
      <c r="AB117" s="545"/>
      <c r="AC117" s="545"/>
    </row>
    <row r="118" spans="1:29" ht="12.75" customHeight="1">
      <c r="A118" s="545"/>
      <c r="B118" s="545"/>
      <c r="C118" s="545"/>
      <c r="D118" s="545"/>
      <c r="E118" s="545"/>
      <c r="F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W118" s="545"/>
      <c r="X118" s="545"/>
      <c r="Y118" s="545"/>
      <c r="Z118" s="545"/>
      <c r="AA118" s="545"/>
      <c r="AB118" s="545"/>
      <c r="AC118" s="545"/>
    </row>
    <row r="119" spans="1:29" ht="12.75" customHeight="1">
      <c r="A119" s="545"/>
      <c r="B119" s="545"/>
      <c r="C119" s="545"/>
      <c r="D119" s="545"/>
      <c r="E119" s="545"/>
      <c r="F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W119" s="545"/>
      <c r="X119" s="545"/>
      <c r="Y119" s="545"/>
      <c r="Z119" s="545"/>
      <c r="AA119" s="545"/>
      <c r="AB119" s="545"/>
      <c r="AC119" s="545"/>
    </row>
    <row r="120" spans="1:29" ht="12.75" customHeight="1">
      <c r="A120" s="545"/>
      <c r="B120" s="545"/>
      <c r="C120" s="545"/>
      <c r="D120" s="545"/>
      <c r="E120" s="545"/>
      <c r="F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W120" s="545"/>
      <c r="X120" s="545"/>
      <c r="Y120" s="545"/>
      <c r="Z120" s="545"/>
      <c r="AA120" s="545"/>
      <c r="AB120" s="545"/>
      <c r="AC120" s="545"/>
    </row>
    <row r="121" spans="1:29" ht="12.75" customHeight="1">
      <c r="A121" s="545"/>
      <c r="B121" s="545"/>
      <c r="C121" s="545"/>
      <c r="D121" s="545"/>
      <c r="E121" s="545"/>
      <c r="F121" s="545"/>
      <c r="H121" s="545"/>
      <c r="I121" s="545"/>
      <c r="J121" s="545"/>
      <c r="K121" s="545"/>
      <c r="L121" s="545"/>
      <c r="M121" s="545"/>
      <c r="N121" s="545"/>
      <c r="O121" s="545"/>
      <c r="P121" s="545"/>
      <c r="Q121" s="545"/>
      <c r="R121" s="545"/>
      <c r="S121" s="545"/>
      <c r="W121" s="545"/>
      <c r="X121" s="545"/>
      <c r="Y121" s="545"/>
      <c r="Z121" s="545"/>
      <c r="AA121" s="545"/>
      <c r="AB121" s="545"/>
      <c r="AC121" s="545"/>
    </row>
    <row r="122" spans="1:29" ht="12.75" customHeight="1">
      <c r="A122" s="545"/>
      <c r="B122" s="545"/>
      <c r="C122" s="545"/>
      <c r="D122" s="545"/>
      <c r="E122" s="545"/>
      <c r="F122" s="545"/>
      <c r="H122" s="545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5"/>
      <c r="W122" s="545"/>
      <c r="X122" s="545"/>
      <c r="Y122" s="545"/>
      <c r="Z122" s="545"/>
      <c r="AA122" s="545"/>
      <c r="AB122" s="545"/>
      <c r="AC122" s="545"/>
    </row>
    <row r="123" spans="1:29" ht="12.75" customHeight="1">
      <c r="A123" s="545"/>
      <c r="B123" s="545"/>
      <c r="C123" s="545"/>
      <c r="D123" s="545"/>
      <c r="E123" s="545"/>
      <c r="F123" s="545"/>
      <c r="H123" s="545"/>
      <c r="I123" s="545"/>
      <c r="J123" s="545"/>
      <c r="K123" s="545"/>
      <c r="L123" s="545"/>
      <c r="M123" s="545"/>
      <c r="N123" s="545"/>
      <c r="O123" s="545"/>
      <c r="P123" s="545"/>
      <c r="Q123" s="545"/>
      <c r="R123" s="545"/>
      <c r="S123" s="545"/>
      <c r="W123" s="545"/>
      <c r="X123" s="545"/>
      <c r="Y123" s="545"/>
      <c r="Z123" s="545"/>
      <c r="AA123" s="545"/>
      <c r="AB123" s="545"/>
      <c r="AC123" s="545"/>
    </row>
    <row r="124" spans="1:29" ht="12.75" customHeight="1">
      <c r="A124" s="545"/>
      <c r="B124" s="545"/>
      <c r="C124" s="545"/>
      <c r="D124" s="545"/>
      <c r="E124" s="545"/>
      <c r="F124" s="545"/>
      <c r="H124" s="545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5"/>
      <c r="W124" s="545"/>
      <c r="X124" s="545"/>
      <c r="Y124" s="545"/>
      <c r="Z124" s="545"/>
      <c r="AA124" s="545"/>
      <c r="AB124" s="545"/>
      <c r="AC124" s="545"/>
    </row>
    <row r="125" spans="1:29" ht="12.75" customHeight="1">
      <c r="A125" s="545"/>
      <c r="B125" s="545"/>
      <c r="C125" s="545"/>
      <c r="D125" s="545"/>
      <c r="E125" s="545"/>
      <c r="F125" s="545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W125" s="545"/>
      <c r="X125" s="545"/>
      <c r="Y125" s="545"/>
      <c r="Z125" s="545"/>
      <c r="AA125" s="545"/>
      <c r="AB125" s="545"/>
      <c r="AC125" s="545"/>
    </row>
    <row r="126" spans="1:29" ht="12.75" customHeight="1">
      <c r="A126" s="545"/>
      <c r="B126" s="545"/>
      <c r="C126" s="545"/>
      <c r="D126" s="545"/>
      <c r="E126" s="545"/>
      <c r="F126" s="545"/>
      <c r="H126" s="545"/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5"/>
      <c r="W126" s="545"/>
      <c r="X126" s="545"/>
      <c r="Y126" s="545"/>
      <c r="Z126" s="545"/>
      <c r="AA126" s="545"/>
      <c r="AB126" s="545"/>
      <c r="AC126" s="545"/>
    </row>
    <row r="127" spans="1:29" ht="12.75" customHeight="1">
      <c r="A127" s="545"/>
      <c r="B127" s="545"/>
      <c r="C127" s="545"/>
      <c r="D127" s="545"/>
      <c r="E127" s="545"/>
      <c r="F127" s="545"/>
      <c r="H127" s="545"/>
      <c r="I127" s="545"/>
      <c r="J127" s="545"/>
      <c r="K127" s="545"/>
      <c r="L127" s="545"/>
      <c r="M127" s="545"/>
      <c r="N127" s="545"/>
      <c r="O127" s="545"/>
      <c r="P127" s="545"/>
      <c r="Q127" s="545"/>
      <c r="R127" s="545"/>
      <c r="S127" s="545"/>
      <c r="W127" s="545"/>
      <c r="X127" s="545"/>
      <c r="Y127" s="545"/>
      <c r="Z127" s="545"/>
      <c r="AA127" s="545"/>
      <c r="AB127" s="545"/>
      <c r="AC127" s="545"/>
    </row>
    <row r="128" spans="1:29" ht="12.75" customHeight="1">
      <c r="A128" s="545"/>
      <c r="B128" s="545"/>
      <c r="C128" s="545"/>
      <c r="D128" s="545"/>
      <c r="E128" s="545"/>
      <c r="F128" s="545"/>
      <c r="H128" s="545"/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5"/>
      <c r="W128" s="545"/>
      <c r="X128" s="545"/>
      <c r="Y128" s="545"/>
      <c r="Z128" s="545"/>
      <c r="AA128" s="545"/>
      <c r="AB128" s="545"/>
      <c r="AC128" s="545"/>
    </row>
    <row r="129" spans="1:29" ht="12.75" customHeight="1">
      <c r="A129" s="545"/>
      <c r="B129" s="545"/>
      <c r="C129" s="545"/>
      <c r="D129" s="545"/>
      <c r="E129" s="545"/>
      <c r="F129" s="545"/>
      <c r="H129" s="545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5"/>
      <c r="W129" s="545"/>
      <c r="X129" s="545"/>
      <c r="Y129" s="545"/>
      <c r="Z129" s="545"/>
      <c r="AA129" s="545"/>
      <c r="AB129" s="545"/>
      <c r="AC129" s="545"/>
    </row>
    <row r="130" spans="1:29" ht="12.75" customHeight="1">
      <c r="A130" s="545"/>
      <c r="B130" s="545"/>
      <c r="C130" s="545"/>
      <c r="D130" s="545"/>
      <c r="E130" s="545"/>
      <c r="F130" s="545"/>
      <c r="H130" s="545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W130" s="545"/>
      <c r="X130" s="545"/>
      <c r="Y130" s="545"/>
      <c r="Z130" s="545"/>
      <c r="AA130" s="545"/>
      <c r="AB130" s="545"/>
      <c r="AC130" s="545"/>
    </row>
    <row r="131" spans="1:29" ht="12.75" customHeight="1">
      <c r="A131" s="545"/>
      <c r="B131" s="545"/>
      <c r="C131" s="545"/>
      <c r="D131" s="545"/>
      <c r="E131" s="545"/>
      <c r="F131" s="545"/>
      <c r="H131" s="545"/>
      <c r="I131" s="545"/>
      <c r="J131" s="545"/>
      <c r="K131" s="545"/>
      <c r="L131" s="545"/>
      <c r="M131" s="545"/>
      <c r="N131" s="545"/>
      <c r="O131" s="545"/>
      <c r="P131" s="545"/>
      <c r="Q131" s="545"/>
      <c r="R131" s="545"/>
      <c r="S131" s="545"/>
      <c r="W131" s="545"/>
      <c r="X131" s="545"/>
      <c r="Y131" s="545"/>
      <c r="Z131" s="545"/>
      <c r="AA131" s="545"/>
      <c r="AB131" s="545"/>
      <c r="AC131" s="545"/>
    </row>
    <row r="132" spans="1:29" ht="12.75" customHeight="1">
      <c r="A132" s="545"/>
      <c r="B132" s="545"/>
      <c r="C132" s="545"/>
      <c r="D132" s="545"/>
      <c r="E132" s="545"/>
      <c r="F132" s="545"/>
      <c r="H132" s="545"/>
      <c r="I132" s="545"/>
      <c r="J132" s="545"/>
      <c r="K132" s="545"/>
      <c r="L132" s="545"/>
      <c r="M132" s="545"/>
      <c r="N132" s="545"/>
      <c r="O132" s="545"/>
      <c r="P132" s="545"/>
      <c r="Q132" s="545"/>
      <c r="R132" s="545"/>
      <c r="S132" s="545"/>
      <c r="W132" s="545"/>
      <c r="X132" s="545"/>
      <c r="Y132" s="545"/>
      <c r="Z132" s="545"/>
      <c r="AA132" s="545"/>
      <c r="AB132" s="545"/>
      <c r="AC132" s="545"/>
    </row>
    <row r="133" spans="1:29" ht="12.75" customHeight="1">
      <c r="A133" s="545"/>
      <c r="B133" s="545"/>
      <c r="C133" s="545"/>
      <c r="D133" s="545"/>
      <c r="E133" s="545"/>
      <c r="F133" s="545"/>
      <c r="H133" s="545"/>
      <c r="I133" s="545"/>
      <c r="J133" s="545"/>
      <c r="K133" s="545"/>
      <c r="L133" s="545"/>
      <c r="M133" s="545"/>
      <c r="N133" s="545"/>
      <c r="O133" s="545"/>
      <c r="P133" s="545"/>
      <c r="Q133" s="545"/>
      <c r="R133" s="545"/>
      <c r="S133" s="545"/>
      <c r="W133" s="545"/>
      <c r="X133" s="545"/>
      <c r="Y133" s="545"/>
      <c r="Z133" s="545"/>
      <c r="AA133" s="545"/>
      <c r="AB133" s="545"/>
      <c r="AC133" s="545"/>
    </row>
    <row r="134" spans="1:29" ht="12.75" customHeight="1">
      <c r="A134" s="545"/>
      <c r="B134" s="545"/>
      <c r="C134" s="545"/>
      <c r="D134" s="545"/>
      <c r="E134" s="545"/>
      <c r="F134" s="545"/>
      <c r="H134" s="545"/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W134" s="545"/>
      <c r="X134" s="545"/>
      <c r="Y134" s="545"/>
      <c r="Z134" s="545"/>
      <c r="AA134" s="545"/>
      <c r="AB134" s="545"/>
      <c r="AC134" s="545"/>
    </row>
    <row r="135" spans="1:29" ht="12.75" customHeight="1">
      <c r="A135" s="545"/>
      <c r="B135" s="545"/>
      <c r="C135" s="545"/>
      <c r="D135" s="545"/>
      <c r="E135" s="545"/>
      <c r="F135" s="545"/>
      <c r="H135" s="545"/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5"/>
      <c r="W135" s="545"/>
      <c r="X135" s="545"/>
      <c r="Y135" s="545"/>
      <c r="Z135" s="545"/>
      <c r="AA135" s="545"/>
      <c r="AB135" s="545"/>
      <c r="AC135" s="545"/>
    </row>
    <row r="136" spans="1:29" ht="12.75" customHeight="1">
      <c r="A136" s="545"/>
      <c r="B136" s="545"/>
      <c r="C136" s="545"/>
      <c r="D136" s="545"/>
      <c r="E136" s="545"/>
      <c r="F136" s="545"/>
      <c r="H136" s="545"/>
      <c r="I136" s="545"/>
      <c r="J136" s="545"/>
      <c r="K136" s="545"/>
      <c r="L136" s="545"/>
      <c r="M136" s="545"/>
      <c r="N136" s="545"/>
      <c r="O136" s="545"/>
      <c r="P136" s="545"/>
      <c r="Q136" s="545"/>
      <c r="R136" s="545"/>
      <c r="S136" s="545"/>
      <c r="W136" s="545"/>
      <c r="X136" s="545"/>
      <c r="Y136" s="545"/>
      <c r="Z136" s="545"/>
      <c r="AA136" s="545"/>
      <c r="AB136" s="545"/>
      <c r="AC136" s="545"/>
    </row>
    <row r="137" spans="1:29" ht="12.75" customHeight="1">
      <c r="A137" s="545"/>
      <c r="B137" s="545"/>
      <c r="C137" s="545"/>
      <c r="D137" s="545"/>
      <c r="E137" s="545"/>
      <c r="F137" s="545"/>
      <c r="H137" s="545"/>
      <c r="I137" s="545"/>
      <c r="J137" s="545"/>
      <c r="K137" s="545"/>
      <c r="L137" s="545"/>
      <c r="M137" s="545"/>
      <c r="N137" s="545"/>
      <c r="O137" s="545"/>
      <c r="P137" s="545"/>
      <c r="Q137" s="545"/>
      <c r="R137" s="545"/>
      <c r="S137" s="545"/>
      <c r="W137" s="545"/>
      <c r="X137" s="545"/>
      <c r="Y137" s="545"/>
      <c r="Z137" s="545"/>
      <c r="AA137" s="545"/>
      <c r="AB137" s="545"/>
      <c r="AC137" s="545"/>
    </row>
    <row r="138" spans="1:29" ht="12.75" customHeight="1">
      <c r="A138" s="545"/>
      <c r="B138" s="545"/>
      <c r="C138" s="545"/>
      <c r="D138" s="545"/>
      <c r="E138" s="545"/>
      <c r="F138" s="545"/>
      <c r="H138" s="545"/>
      <c r="I138" s="545"/>
      <c r="J138" s="545"/>
      <c r="K138" s="545"/>
      <c r="L138" s="545"/>
      <c r="M138" s="545"/>
      <c r="N138" s="545"/>
      <c r="O138" s="545"/>
      <c r="P138" s="545"/>
      <c r="Q138" s="545"/>
      <c r="R138" s="545"/>
      <c r="S138" s="545"/>
      <c r="W138" s="545"/>
      <c r="X138" s="545"/>
      <c r="Y138" s="545"/>
      <c r="Z138" s="545"/>
      <c r="AA138" s="545"/>
      <c r="AB138" s="545"/>
      <c r="AC138" s="545"/>
    </row>
    <row r="139" spans="1:29" ht="12.75" customHeight="1">
      <c r="A139" s="545"/>
      <c r="B139" s="545"/>
      <c r="C139" s="545"/>
      <c r="D139" s="545"/>
      <c r="E139" s="545"/>
      <c r="F139" s="545"/>
      <c r="H139" s="545"/>
      <c r="I139" s="545"/>
      <c r="J139" s="545"/>
      <c r="K139" s="545"/>
      <c r="L139" s="545"/>
      <c r="M139" s="545"/>
      <c r="N139" s="545"/>
      <c r="O139" s="545"/>
      <c r="P139" s="545"/>
      <c r="Q139" s="545"/>
      <c r="R139" s="545"/>
      <c r="S139" s="545"/>
      <c r="W139" s="545"/>
      <c r="X139" s="545"/>
      <c r="Y139" s="545"/>
      <c r="Z139" s="545"/>
      <c r="AA139" s="545"/>
      <c r="AB139" s="545"/>
      <c r="AC139" s="545"/>
    </row>
    <row r="140" spans="1:29" ht="12.75" customHeight="1">
      <c r="A140" s="545"/>
      <c r="B140" s="545"/>
      <c r="C140" s="545"/>
      <c r="D140" s="545"/>
      <c r="E140" s="545"/>
      <c r="F140" s="545"/>
      <c r="H140" s="545"/>
      <c r="I140" s="545"/>
      <c r="J140" s="545"/>
      <c r="K140" s="545"/>
      <c r="L140" s="545"/>
      <c r="M140" s="545"/>
      <c r="N140" s="545"/>
      <c r="O140" s="545"/>
      <c r="P140" s="545"/>
      <c r="Q140" s="545"/>
      <c r="R140" s="545"/>
      <c r="S140" s="545"/>
      <c r="W140" s="545"/>
      <c r="X140" s="545"/>
      <c r="Y140" s="545"/>
      <c r="Z140" s="545"/>
      <c r="AA140" s="545"/>
      <c r="AB140" s="545"/>
      <c r="AC140" s="545"/>
    </row>
    <row r="141" spans="1:29" ht="12.75" customHeight="1">
      <c r="A141" s="545"/>
      <c r="B141" s="545"/>
      <c r="C141" s="545"/>
      <c r="D141" s="545"/>
      <c r="E141" s="545"/>
      <c r="F141" s="545"/>
      <c r="H141" s="545"/>
      <c r="I141" s="545"/>
      <c r="J141" s="545"/>
      <c r="K141" s="545"/>
      <c r="L141" s="545"/>
      <c r="M141" s="545"/>
      <c r="N141" s="545"/>
      <c r="O141" s="545"/>
      <c r="P141" s="545"/>
      <c r="Q141" s="545"/>
      <c r="R141" s="545"/>
      <c r="S141" s="545"/>
      <c r="W141" s="545"/>
      <c r="X141" s="545"/>
      <c r="Y141" s="545"/>
      <c r="Z141" s="545"/>
      <c r="AA141" s="545"/>
      <c r="AB141" s="545"/>
      <c r="AC141" s="545"/>
    </row>
    <row r="142" spans="1:29" ht="12.75" customHeight="1">
      <c r="A142" s="545"/>
      <c r="B142" s="545"/>
      <c r="C142" s="545"/>
      <c r="D142" s="545"/>
      <c r="E142" s="545"/>
      <c r="F142" s="545"/>
      <c r="H142" s="545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5"/>
      <c r="W142" s="545"/>
      <c r="X142" s="545"/>
      <c r="Y142" s="545"/>
      <c r="Z142" s="545"/>
      <c r="AA142" s="545"/>
      <c r="AB142" s="545"/>
      <c r="AC142" s="545"/>
    </row>
    <row r="143" spans="1:29" ht="12.75" customHeight="1">
      <c r="A143" s="545"/>
      <c r="B143" s="545"/>
      <c r="C143" s="545"/>
      <c r="D143" s="545"/>
      <c r="E143" s="545"/>
      <c r="F143" s="545"/>
      <c r="H143" s="545"/>
      <c r="I143" s="545"/>
      <c r="J143" s="545"/>
      <c r="K143" s="545"/>
      <c r="L143" s="545"/>
      <c r="M143" s="545"/>
      <c r="N143" s="545"/>
      <c r="O143" s="545"/>
      <c r="P143" s="545"/>
      <c r="Q143" s="545"/>
      <c r="R143" s="545"/>
      <c r="S143" s="545"/>
      <c r="W143" s="545"/>
      <c r="X143" s="545"/>
      <c r="Y143" s="545"/>
      <c r="Z143" s="545"/>
      <c r="AA143" s="545"/>
      <c r="AB143" s="545"/>
      <c r="AC143" s="545"/>
    </row>
    <row r="144" spans="1:29" ht="12.75" customHeight="1">
      <c r="A144" s="545"/>
      <c r="B144" s="545"/>
      <c r="C144" s="545"/>
      <c r="D144" s="545"/>
      <c r="E144" s="545"/>
      <c r="F144" s="545"/>
      <c r="H144" s="545"/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545"/>
      <c r="W144" s="545"/>
      <c r="X144" s="545"/>
      <c r="Y144" s="545"/>
      <c r="Z144" s="545"/>
      <c r="AA144" s="545"/>
      <c r="AB144" s="545"/>
      <c r="AC144" s="545"/>
    </row>
    <row r="145" spans="1:29" ht="12.75" customHeight="1">
      <c r="A145" s="545"/>
      <c r="B145" s="545"/>
      <c r="C145" s="545"/>
      <c r="D145" s="545"/>
      <c r="E145" s="545"/>
      <c r="F145" s="545"/>
      <c r="H145" s="545"/>
      <c r="I145" s="545"/>
      <c r="J145" s="545"/>
      <c r="K145" s="545"/>
      <c r="L145" s="545"/>
      <c r="M145" s="545"/>
      <c r="N145" s="545"/>
      <c r="O145" s="545"/>
      <c r="P145" s="545"/>
      <c r="Q145" s="545"/>
      <c r="R145" s="545"/>
      <c r="S145" s="545"/>
      <c r="W145" s="545"/>
      <c r="X145" s="545"/>
      <c r="Y145" s="545"/>
      <c r="Z145" s="545"/>
      <c r="AA145" s="545"/>
      <c r="AB145" s="545"/>
      <c r="AC145" s="545"/>
    </row>
    <row r="146" spans="1:29" ht="12.75" customHeight="1">
      <c r="A146" s="545"/>
      <c r="B146" s="545"/>
      <c r="C146" s="545"/>
      <c r="D146" s="545"/>
      <c r="E146" s="545"/>
      <c r="F146" s="545"/>
      <c r="H146" s="545"/>
      <c r="I146" s="545"/>
      <c r="J146" s="545"/>
      <c r="K146" s="545"/>
      <c r="L146" s="545"/>
      <c r="M146" s="545"/>
      <c r="N146" s="545"/>
      <c r="O146" s="545"/>
      <c r="P146" s="545"/>
      <c r="Q146" s="545"/>
      <c r="R146" s="545"/>
      <c r="S146" s="545"/>
      <c r="W146" s="545"/>
      <c r="X146" s="545"/>
      <c r="Y146" s="545"/>
      <c r="Z146" s="545"/>
      <c r="AA146" s="545"/>
      <c r="AB146" s="545"/>
      <c r="AC146" s="545"/>
    </row>
    <row r="147" spans="1:29" ht="12.75" customHeight="1">
      <c r="A147" s="545"/>
      <c r="B147" s="545"/>
      <c r="C147" s="545"/>
      <c r="D147" s="545"/>
      <c r="E147" s="545"/>
      <c r="F147" s="545"/>
      <c r="H147" s="545"/>
      <c r="I147" s="545"/>
      <c r="J147" s="545"/>
      <c r="K147" s="545"/>
      <c r="L147" s="545"/>
      <c r="M147" s="545"/>
      <c r="N147" s="545"/>
      <c r="O147" s="545"/>
      <c r="P147" s="545"/>
      <c r="Q147" s="545"/>
      <c r="R147" s="545"/>
      <c r="S147" s="545"/>
      <c r="W147" s="545"/>
      <c r="X147" s="545"/>
      <c r="Y147" s="545"/>
      <c r="Z147" s="545"/>
      <c r="AA147" s="545"/>
      <c r="AB147" s="545"/>
      <c r="AC147" s="545"/>
    </row>
    <row r="148" spans="1:29" ht="12.75" customHeight="1">
      <c r="A148" s="545"/>
      <c r="B148" s="545"/>
      <c r="C148" s="545"/>
      <c r="D148" s="545"/>
      <c r="E148" s="545"/>
      <c r="F148" s="545"/>
      <c r="H148" s="545"/>
      <c r="I148" s="545"/>
      <c r="J148" s="545"/>
      <c r="K148" s="545"/>
      <c r="L148" s="545"/>
      <c r="M148" s="545"/>
      <c r="N148" s="545"/>
      <c r="O148" s="545"/>
      <c r="P148" s="545"/>
      <c r="Q148" s="545"/>
      <c r="R148" s="545"/>
      <c r="S148" s="545"/>
      <c r="W148" s="545"/>
      <c r="X148" s="545"/>
      <c r="Y148" s="545"/>
      <c r="Z148" s="545"/>
      <c r="AA148" s="545"/>
      <c r="AB148" s="545"/>
      <c r="AC148" s="545"/>
    </row>
    <row r="149" spans="1:29" ht="12.75" customHeight="1">
      <c r="A149" s="545"/>
      <c r="B149" s="545"/>
      <c r="C149" s="545"/>
      <c r="D149" s="545"/>
      <c r="E149" s="545"/>
      <c r="F149" s="545"/>
      <c r="H149" s="545"/>
      <c r="I149" s="545"/>
      <c r="J149" s="545"/>
      <c r="K149" s="545"/>
      <c r="L149" s="545"/>
      <c r="M149" s="545"/>
      <c r="N149" s="545"/>
      <c r="O149" s="545"/>
      <c r="P149" s="545"/>
      <c r="Q149" s="545"/>
      <c r="R149" s="545"/>
      <c r="S149" s="545"/>
      <c r="W149" s="545"/>
      <c r="X149" s="545"/>
      <c r="Y149" s="545"/>
      <c r="Z149" s="545"/>
      <c r="AA149" s="545"/>
      <c r="AB149" s="545"/>
      <c r="AC149" s="545"/>
    </row>
    <row r="150" spans="1:29" ht="12.75" customHeight="1">
      <c r="A150" s="545"/>
      <c r="B150" s="545"/>
      <c r="C150" s="545"/>
      <c r="D150" s="545"/>
      <c r="E150" s="545"/>
      <c r="F150" s="545"/>
      <c r="H150" s="545"/>
      <c r="I150" s="545"/>
      <c r="J150" s="545"/>
      <c r="K150" s="545"/>
      <c r="L150" s="545"/>
      <c r="M150" s="545"/>
      <c r="N150" s="545"/>
      <c r="O150" s="545"/>
      <c r="P150" s="545"/>
      <c r="Q150" s="545"/>
      <c r="R150" s="545"/>
      <c r="S150" s="545"/>
      <c r="W150" s="545"/>
      <c r="X150" s="545"/>
      <c r="Y150" s="545"/>
      <c r="Z150" s="545"/>
      <c r="AA150" s="545"/>
      <c r="AB150" s="545"/>
      <c r="AC150" s="545"/>
    </row>
    <row r="151" spans="1:29" ht="12.75" customHeight="1">
      <c r="A151" s="545"/>
      <c r="B151" s="545"/>
      <c r="C151" s="545"/>
      <c r="D151" s="545"/>
      <c r="E151" s="545"/>
      <c r="F151" s="545"/>
      <c r="H151" s="545"/>
      <c r="I151" s="545"/>
      <c r="J151" s="545"/>
      <c r="K151" s="545"/>
      <c r="L151" s="545"/>
      <c r="M151" s="545"/>
      <c r="N151" s="545"/>
      <c r="O151" s="545"/>
      <c r="P151" s="545"/>
      <c r="Q151" s="545"/>
      <c r="R151" s="545"/>
      <c r="S151" s="545"/>
      <c r="W151" s="545"/>
      <c r="X151" s="545"/>
      <c r="Y151" s="545"/>
      <c r="Z151" s="545"/>
      <c r="AA151" s="545"/>
      <c r="AB151" s="545"/>
      <c r="AC151" s="545"/>
    </row>
    <row r="152" spans="1:29" ht="12.75" customHeight="1">
      <c r="A152" s="545"/>
      <c r="B152" s="545"/>
      <c r="C152" s="545"/>
      <c r="D152" s="545"/>
      <c r="E152" s="545"/>
      <c r="F152" s="545"/>
      <c r="H152" s="545"/>
      <c r="I152" s="545"/>
      <c r="J152" s="545"/>
      <c r="K152" s="545"/>
      <c r="L152" s="545"/>
      <c r="M152" s="545"/>
      <c r="N152" s="545"/>
      <c r="O152" s="545"/>
      <c r="P152" s="545"/>
      <c r="Q152" s="545"/>
      <c r="R152" s="545"/>
      <c r="S152" s="545"/>
      <c r="W152" s="545"/>
      <c r="X152" s="545"/>
      <c r="Y152" s="545"/>
      <c r="Z152" s="545"/>
      <c r="AA152" s="545"/>
      <c r="AB152" s="545"/>
      <c r="AC152" s="545"/>
    </row>
    <row r="153" spans="1:29" ht="12.75" customHeight="1">
      <c r="A153" s="545"/>
      <c r="B153" s="545"/>
      <c r="C153" s="545"/>
      <c r="D153" s="545"/>
      <c r="E153" s="545"/>
      <c r="F153" s="545"/>
      <c r="H153" s="545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5"/>
      <c r="W153" s="545"/>
      <c r="X153" s="545"/>
      <c r="Y153" s="545"/>
      <c r="Z153" s="545"/>
      <c r="AA153" s="545"/>
      <c r="AB153" s="545"/>
      <c r="AC153" s="545"/>
    </row>
    <row r="154" spans="1:29" ht="12.75" customHeight="1">
      <c r="A154" s="545"/>
      <c r="B154" s="545"/>
      <c r="C154" s="545"/>
      <c r="D154" s="545"/>
      <c r="E154" s="545"/>
      <c r="F154" s="545"/>
      <c r="H154" s="545"/>
      <c r="I154" s="545"/>
      <c r="J154" s="545"/>
      <c r="K154" s="545"/>
      <c r="L154" s="545"/>
      <c r="M154" s="545"/>
      <c r="N154" s="545"/>
      <c r="O154" s="545"/>
      <c r="P154" s="545"/>
      <c r="Q154" s="545"/>
      <c r="R154" s="545"/>
      <c r="S154" s="545"/>
      <c r="W154" s="545"/>
      <c r="X154" s="545"/>
      <c r="Y154" s="545"/>
      <c r="Z154" s="545"/>
      <c r="AA154" s="545"/>
      <c r="AB154" s="545"/>
      <c r="AC154" s="545"/>
    </row>
    <row r="155" spans="1:29" ht="12.75" customHeight="1">
      <c r="A155" s="545"/>
      <c r="B155" s="545"/>
      <c r="C155" s="545"/>
      <c r="D155" s="545"/>
      <c r="E155" s="545"/>
      <c r="F155" s="545"/>
      <c r="H155" s="545"/>
      <c r="I155" s="545"/>
      <c r="J155" s="545"/>
      <c r="K155" s="545"/>
      <c r="L155" s="545"/>
      <c r="M155" s="545"/>
      <c r="N155" s="545"/>
      <c r="O155" s="545"/>
      <c r="P155" s="545"/>
      <c r="Q155" s="545"/>
      <c r="R155" s="545"/>
      <c r="S155" s="545"/>
      <c r="W155" s="545"/>
      <c r="X155" s="545"/>
      <c r="Y155" s="545"/>
      <c r="Z155" s="545"/>
      <c r="AA155" s="545"/>
      <c r="AB155" s="545"/>
      <c r="AC155" s="545"/>
    </row>
    <row r="156" spans="1:29" ht="12.75" customHeight="1">
      <c r="A156" s="545"/>
      <c r="B156" s="545"/>
      <c r="C156" s="545"/>
      <c r="D156" s="545"/>
      <c r="E156" s="545"/>
      <c r="F156" s="545"/>
      <c r="H156" s="545"/>
      <c r="I156" s="545"/>
      <c r="J156" s="545"/>
      <c r="K156" s="545"/>
      <c r="L156" s="545"/>
      <c r="M156" s="545"/>
      <c r="N156" s="545"/>
      <c r="O156" s="545"/>
      <c r="P156" s="545"/>
      <c r="Q156" s="545"/>
      <c r="R156" s="545"/>
      <c r="S156" s="545"/>
      <c r="W156" s="545"/>
      <c r="X156" s="545"/>
      <c r="Y156" s="545"/>
      <c r="Z156" s="545"/>
      <c r="AA156" s="545"/>
      <c r="AB156" s="545"/>
      <c r="AC156" s="545"/>
    </row>
    <row r="157" spans="1:29" ht="12.75" customHeight="1">
      <c r="A157" s="545"/>
      <c r="B157" s="545"/>
      <c r="C157" s="545"/>
      <c r="D157" s="545"/>
      <c r="E157" s="545"/>
      <c r="F157" s="545"/>
      <c r="H157" s="545"/>
      <c r="I157" s="545"/>
      <c r="J157" s="545"/>
      <c r="K157" s="545"/>
      <c r="L157" s="545"/>
      <c r="M157" s="545"/>
      <c r="N157" s="545"/>
      <c r="O157" s="545"/>
      <c r="P157" s="545"/>
      <c r="Q157" s="545"/>
      <c r="R157" s="545"/>
      <c r="S157" s="545"/>
      <c r="W157" s="545"/>
      <c r="X157" s="545"/>
      <c r="Y157" s="545"/>
      <c r="Z157" s="545"/>
      <c r="AA157" s="545"/>
      <c r="AB157" s="545"/>
      <c r="AC157" s="545"/>
    </row>
    <row r="158" spans="1:29" ht="12.75" customHeight="1">
      <c r="A158" s="545"/>
      <c r="B158" s="545"/>
      <c r="C158" s="545"/>
      <c r="D158" s="545"/>
      <c r="E158" s="545"/>
      <c r="F158" s="545"/>
      <c r="H158" s="545"/>
      <c r="I158" s="545"/>
      <c r="J158" s="545"/>
      <c r="K158" s="545"/>
      <c r="L158" s="545"/>
      <c r="M158" s="545"/>
      <c r="N158" s="545"/>
      <c r="O158" s="545"/>
      <c r="P158" s="545"/>
      <c r="Q158" s="545"/>
      <c r="R158" s="545"/>
      <c r="S158" s="545"/>
      <c r="W158" s="545"/>
      <c r="X158" s="545"/>
      <c r="Y158" s="545"/>
      <c r="Z158" s="545"/>
      <c r="AA158" s="545"/>
      <c r="AB158" s="545"/>
      <c r="AC158" s="545"/>
    </row>
    <row r="159" spans="1:29" ht="12.75" customHeight="1">
      <c r="A159" s="545"/>
      <c r="B159" s="545"/>
      <c r="C159" s="545"/>
      <c r="D159" s="545"/>
      <c r="E159" s="545"/>
      <c r="F159" s="545"/>
      <c r="H159" s="545"/>
      <c r="I159" s="545"/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W159" s="545"/>
      <c r="X159" s="545"/>
      <c r="Y159" s="545"/>
      <c r="Z159" s="545"/>
      <c r="AA159" s="545"/>
      <c r="AB159" s="545"/>
      <c r="AC159" s="545"/>
    </row>
    <row r="160" spans="1:29" ht="12.75" customHeight="1">
      <c r="A160" s="545"/>
      <c r="B160" s="545"/>
      <c r="C160" s="545"/>
      <c r="D160" s="545"/>
      <c r="E160" s="545"/>
      <c r="F160" s="545"/>
      <c r="H160" s="545"/>
      <c r="I160" s="545"/>
      <c r="J160" s="545"/>
      <c r="K160" s="545"/>
      <c r="L160" s="545"/>
      <c r="M160" s="545"/>
      <c r="N160" s="545"/>
      <c r="O160" s="545"/>
      <c r="P160" s="545"/>
      <c r="Q160" s="545"/>
      <c r="R160" s="545"/>
      <c r="S160" s="545"/>
      <c r="W160" s="545"/>
      <c r="X160" s="545"/>
      <c r="Y160" s="545"/>
      <c r="Z160" s="545"/>
      <c r="AA160" s="545"/>
      <c r="AB160" s="545"/>
      <c r="AC160" s="545"/>
    </row>
    <row r="161" spans="1:29" ht="12.75" customHeight="1">
      <c r="A161" s="545"/>
      <c r="B161" s="545"/>
      <c r="C161" s="545"/>
      <c r="D161" s="545"/>
      <c r="E161" s="545"/>
      <c r="F161" s="545"/>
      <c r="H161" s="545"/>
      <c r="I161" s="545"/>
      <c r="J161" s="545"/>
      <c r="K161" s="545"/>
      <c r="L161" s="545"/>
      <c r="M161" s="545"/>
      <c r="N161" s="545"/>
      <c r="O161" s="545"/>
      <c r="P161" s="545"/>
      <c r="Q161" s="545"/>
      <c r="R161" s="545"/>
      <c r="S161" s="545"/>
      <c r="W161" s="545"/>
      <c r="X161" s="545"/>
      <c r="Y161" s="545"/>
      <c r="Z161" s="545"/>
      <c r="AA161" s="545"/>
      <c r="AB161" s="545"/>
      <c r="AC161" s="545"/>
    </row>
    <row r="162" spans="1:29" ht="12.75" customHeight="1">
      <c r="A162" s="545"/>
      <c r="B162" s="545"/>
      <c r="C162" s="545"/>
      <c r="D162" s="545"/>
      <c r="E162" s="545"/>
      <c r="F162" s="545"/>
      <c r="H162" s="545"/>
      <c r="I162" s="545"/>
      <c r="J162" s="545"/>
      <c r="K162" s="545"/>
      <c r="L162" s="545"/>
      <c r="M162" s="545"/>
      <c r="N162" s="545"/>
      <c r="O162" s="545"/>
      <c r="P162" s="545"/>
      <c r="Q162" s="545"/>
      <c r="R162" s="545"/>
      <c r="S162" s="545"/>
      <c r="W162" s="545"/>
      <c r="X162" s="545"/>
      <c r="Y162" s="545"/>
      <c r="Z162" s="545"/>
      <c r="AA162" s="545"/>
      <c r="AB162" s="545"/>
      <c r="AC162" s="545"/>
    </row>
    <row r="163" spans="1:29" ht="12.75" customHeight="1">
      <c r="A163" s="545"/>
      <c r="B163" s="545"/>
      <c r="C163" s="545"/>
      <c r="D163" s="545"/>
      <c r="E163" s="545"/>
      <c r="F163" s="545"/>
      <c r="H163" s="545"/>
      <c r="I163" s="545"/>
      <c r="J163" s="545"/>
      <c r="K163" s="545"/>
      <c r="L163" s="545"/>
      <c r="M163" s="545"/>
      <c r="N163" s="545"/>
      <c r="O163" s="545"/>
      <c r="P163" s="545"/>
      <c r="Q163" s="545"/>
      <c r="R163" s="545"/>
      <c r="S163" s="545"/>
      <c r="W163" s="545"/>
      <c r="X163" s="545"/>
      <c r="Y163" s="545"/>
      <c r="Z163" s="545"/>
      <c r="AA163" s="545"/>
      <c r="AB163" s="545"/>
      <c r="AC163" s="545"/>
    </row>
    <row r="164" spans="1:29" ht="12.75" customHeight="1">
      <c r="A164" s="545"/>
      <c r="B164" s="545"/>
      <c r="C164" s="545"/>
      <c r="D164" s="545"/>
      <c r="E164" s="545"/>
      <c r="F164" s="545"/>
      <c r="H164" s="545"/>
      <c r="I164" s="545"/>
      <c r="J164" s="545"/>
      <c r="K164" s="545"/>
      <c r="L164" s="545"/>
      <c r="M164" s="545"/>
      <c r="N164" s="545"/>
      <c r="O164" s="545"/>
      <c r="P164" s="545"/>
      <c r="Q164" s="545"/>
      <c r="R164" s="545"/>
      <c r="S164" s="545"/>
      <c r="W164" s="545"/>
      <c r="X164" s="545"/>
      <c r="Y164" s="545"/>
      <c r="Z164" s="545"/>
      <c r="AA164" s="545"/>
      <c r="AB164" s="545"/>
      <c r="AC164" s="545"/>
    </row>
    <row r="165" spans="1:29" ht="12.75" customHeight="1">
      <c r="A165" s="545"/>
      <c r="B165" s="545"/>
      <c r="C165" s="545"/>
      <c r="D165" s="545"/>
      <c r="E165" s="545"/>
      <c r="F165" s="545"/>
      <c r="H165" s="545"/>
      <c r="I165" s="545"/>
      <c r="J165" s="545"/>
      <c r="K165" s="545"/>
      <c r="L165" s="545"/>
      <c r="M165" s="545"/>
      <c r="N165" s="545"/>
      <c r="O165" s="545"/>
      <c r="P165" s="545"/>
      <c r="Q165" s="545"/>
      <c r="R165" s="545"/>
      <c r="S165" s="545"/>
      <c r="W165" s="545"/>
      <c r="X165" s="545"/>
      <c r="Y165" s="545"/>
      <c r="Z165" s="545"/>
      <c r="AA165" s="545"/>
      <c r="AB165" s="545"/>
      <c r="AC165" s="545"/>
    </row>
    <row r="166" spans="1:29" ht="12.75" customHeight="1">
      <c r="A166" s="545"/>
      <c r="B166" s="545"/>
      <c r="C166" s="545"/>
      <c r="D166" s="545"/>
      <c r="E166" s="545"/>
      <c r="F166" s="545"/>
      <c r="H166" s="545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45"/>
      <c r="W166" s="545"/>
      <c r="X166" s="545"/>
      <c r="Y166" s="545"/>
      <c r="Z166" s="545"/>
      <c r="AA166" s="545"/>
      <c r="AB166" s="545"/>
      <c r="AC166" s="545"/>
    </row>
    <row r="167" spans="1:29" ht="12.75" customHeight="1">
      <c r="A167" s="545"/>
      <c r="B167" s="545"/>
      <c r="C167" s="545"/>
      <c r="D167" s="545"/>
      <c r="E167" s="545"/>
      <c r="F167" s="545"/>
      <c r="H167" s="545"/>
      <c r="I167" s="545"/>
      <c r="J167" s="545"/>
      <c r="K167" s="545"/>
      <c r="L167" s="545"/>
      <c r="M167" s="545"/>
      <c r="N167" s="545"/>
      <c r="O167" s="545"/>
      <c r="P167" s="545"/>
      <c r="Q167" s="545"/>
      <c r="R167" s="545"/>
      <c r="S167" s="545"/>
      <c r="W167" s="545"/>
      <c r="X167" s="545"/>
      <c r="Y167" s="545"/>
      <c r="Z167" s="545"/>
      <c r="AA167" s="545"/>
      <c r="AB167" s="545"/>
      <c r="AC167" s="545"/>
    </row>
    <row r="168" spans="1:29" ht="12.75" customHeight="1">
      <c r="A168" s="545"/>
      <c r="B168" s="545"/>
      <c r="C168" s="545"/>
      <c r="D168" s="545"/>
      <c r="E168" s="545"/>
      <c r="F168" s="545"/>
      <c r="H168" s="545"/>
      <c r="I168" s="545"/>
      <c r="J168" s="545"/>
      <c r="K168" s="545"/>
      <c r="L168" s="545"/>
      <c r="M168" s="545"/>
      <c r="N168" s="545"/>
      <c r="O168" s="545"/>
      <c r="P168" s="545"/>
      <c r="Q168" s="545"/>
      <c r="R168" s="545"/>
      <c r="S168" s="545"/>
      <c r="W168" s="545"/>
      <c r="X168" s="545"/>
      <c r="Y168" s="545"/>
      <c r="Z168" s="545"/>
      <c r="AA168" s="545"/>
      <c r="AB168" s="545"/>
      <c r="AC168" s="545"/>
    </row>
    <row r="169" spans="1:29" ht="12.75" customHeight="1">
      <c r="A169" s="545"/>
      <c r="B169" s="545"/>
      <c r="C169" s="545"/>
      <c r="D169" s="545"/>
      <c r="E169" s="545"/>
      <c r="F169" s="545"/>
      <c r="H169" s="545"/>
      <c r="I169" s="545"/>
      <c r="J169" s="545"/>
      <c r="K169" s="545"/>
      <c r="L169" s="545"/>
      <c r="M169" s="545"/>
      <c r="N169" s="545"/>
      <c r="O169" s="545"/>
      <c r="P169" s="545"/>
      <c r="Q169" s="545"/>
      <c r="R169" s="545"/>
      <c r="S169" s="545"/>
      <c r="W169" s="545"/>
      <c r="X169" s="545"/>
      <c r="Y169" s="545"/>
      <c r="Z169" s="545"/>
      <c r="AA169" s="545"/>
      <c r="AB169" s="545"/>
      <c r="AC169" s="545"/>
    </row>
    <row r="170" spans="1:29" ht="12.75" customHeight="1">
      <c r="A170" s="545"/>
      <c r="B170" s="545"/>
      <c r="C170" s="545"/>
      <c r="D170" s="545"/>
      <c r="E170" s="545"/>
      <c r="F170" s="545"/>
      <c r="H170" s="545"/>
      <c r="I170" s="545"/>
      <c r="J170" s="545"/>
      <c r="K170" s="545"/>
      <c r="L170" s="545"/>
      <c r="M170" s="545"/>
      <c r="N170" s="545"/>
      <c r="O170" s="545"/>
      <c r="P170" s="545"/>
      <c r="Q170" s="545"/>
      <c r="R170" s="545"/>
      <c r="S170" s="545"/>
      <c r="W170" s="545"/>
      <c r="X170" s="545"/>
      <c r="Y170" s="545"/>
      <c r="Z170" s="545"/>
      <c r="AA170" s="545"/>
      <c r="AB170" s="545"/>
      <c r="AC170" s="545"/>
    </row>
    <row r="171" spans="1:29" ht="12.75" customHeight="1">
      <c r="A171" s="545"/>
      <c r="B171" s="545"/>
      <c r="C171" s="545"/>
      <c r="D171" s="545"/>
      <c r="E171" s="545"/>
      <c r="F171" s="545"/>
      <c r="H171" s="545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5"/>
      <c r="W171" s="545"/>
      <c r="X171" s="545"/>
      <c r="Y171" s="545"/>
      <c r="Z171" s="545"/>
      <c r="AA171" s="545"/>
      <c r="AB171" s="545"/>
      <c r="AC171" s="545"/>
    </row>
    <row r="172" spans="1:29" ht="12.75" customHeight="1">
      <c r="A172" s="545"/>
      <c r="B172" s="545"/>
      <c r="C172" s="545"/>
      <c r="D172" s="545"/>
      <c r="E172" s="545"/>
      <c r="F172" s="545"/>
      <c r="H172" s="545"/>
      <c r="I172" s="545"/>
      <c r="J172" s="545"/>
      <c r="K172" s="545"/>
      <c r="L172" s="545"/>
      <c r="M172" s="545"/>
      <c r="N172" s="545"/>
      <c r="O172" s="545"/>
      <c r="P172" s="545"/>
      <c r="Q172" s="545"/>
      <c r="R172" s="545"/>
      <c r="S172" s="545"/>
      <c r="W172" s="545"/>
      <c r="X172" s="545"/>
      <c r="Y172" s="545"/>
      <c r="Z172" s="545"/>
      <c r="AA172" s="545"/>
      <c r="AB172" s="545"/>
      <c r="AC172" s="545"/>
    </row>
    <row r="173" spans="1:29" ht="12.75" customHeight="1">
      <c r="A173" s="545"/>
      <c r="B173" s="545"/>
      <c r="C173" s="545"/>
      <c r="D173" s="545"/>
      <c r="E173" s="545"/>
      <c r="F173" s="545"/>
      <c r="H173" s="545"/>
      <c r="I173" s="545"/>
      <c r="J173" s="545"/>
      <c r="K173" s="545"/>
      <c r="L173" s="545"/>
      <c r="M173" s="545"/>
      <c r="N173" s="545"/>
      <c r="O173" s="545"/>
      <c r="P173" s="545"/>
      <c r="Q173" s="545"/>
      <c r="R173" s="545"/>
      <c r="S173" s="545"/>
      <c r="W173" s="545"/>
      <c r="X173" s="545"/>
      <c r="Y173" s="545"/>
      <c r="Z173" s="545"/>
      <c r="AA173" s="545"/>
      <c r="AB173" s="545"/>
      <c r="AC173" s="545"/>
    </row>
    <row r="174" spans="1:29" ht="12.75" customHeight="1">
      <c r="A174" s="545"/>
      <c r="B174" s="545"/>
      <c r="C174" s="545"/>
      <c r="D174" s="545"/>
      <c r="E174" s="545"/>
      <c r="F174" s="545"/>
      <c r="H174" s="545"/>
      <c r="I174" s="545"/>
      <c r="J174" s="545"/>
      <c r="K174" s="545"/>
      <c r="L174" s="545"/>
      <c r="M174" s="545"/>
      <c r="N174" s="545"/>
      <c r="O174" s="545"/>
      <c r="P174" s="545"/>
      <c r="Q174" s="545"/>
      <c r="R174" s="545"/>
      <c r="S174" s="545"/>
      <c r="W174" s="545"/>
      <c r="X174" s="545"/>
      <c r="Y174" s="545"/>
      <c r="Z174" s="545"/>
      <c r="AA174" s="545"/>
      <c r="AB174" s="545"/>
      <c r="AC174" s="545"/>
    </row>
    <row r="175" spans="1:29" ht="12.75" customHeight="1">
      <c r="A175" s="545"/>
      <c r="B175" s="545"/>
      <c r="C175" s="545"/>
      <c r="D175" s="545"/>
      <c r="E175" s="545"/>
      <c r="F175" s="545"/>
      <c r="H175" s="545"/>
      <c r="I175" s="545"/>
      <c r="J175" s="545"/>
      <c r="K175" s="545"/>
      <c r="L175" s="545"/>
      <c r="M175" s="545"/>
      <c r="N175" s="545"/>
      <c r="O175" s="545"/>
      <c r="P175" s="545"/>
      <c r="Q175" s="545"/>
      <c r="R175" s="545"/>
      <c r="S175" s="545"/>
      <c r="W175" s="545"/>
      <c r="X175" s="545"/>
      <c r="Y175" s="545"/>
      <c r="Z175" s="545"/>
      <c r="AA175" s="545"/>
      <c r="AB175" s="545"/>
      <c r="AC175" s="545"/>
    </row>
    <row r="176" spans="1:29" ht="12.75" customHeight="1">
      <c r="A176" s="545"/>
      <c r="B176" s="545"/>
      <c r="C176" s="545"/>
      <c r="D176" s="545"/>
      <c r="E176" s="545"/>
      <c r="F176" s="545"/>
      <c r="H176" s="545"/>
      <c r="I176" s="545"/>
      <c r="J176" s="545"/>
      <c r="K176" s="545"/>
      <c r="L176" s="545"/>
      <c r="M176" s="545"/>
      <c r="N176" s="545"/>
      <c r="O176" s="545"/>
      <c r="P176" s="545"/>
      <c r="Q176" s="545"/>
      <c r="R176" s="545"/>
      <c r="S176" s="545"/>
      <c r="W176" s="545"/>
      <c r="X176" s="545"/>
      <c r="Y176" s="545"/>
      <c r="Z176" s="545"/>
      <c r="AA176" s="545"/>
      <c r="AB176" s="545"/>
      <c r="AC176" s="545"/>
    </row>
    <row r="177" spans="1:29" ht="12.75" customHeight="1">
      <c r="A177" s="545"/>
      <c r="B177" s="545"/>
      <c r="C177" s="545"/>
      <c r="D177" s="545"/>
      <c r="E177" s="545"/>
      <c r="F177" s="545"/>
      <c r="H177" s="545"/>
      <c r="I177" s="545"/>
      <c r="J177" s="545"/>
      <c r="K177" s="545"/>
      <c r="L177" s="545"/>
      <c r="M177" s="545"/>
      <c r="N177" s="545"/>
      <c r="O177" s="545"/>
      <c r="P177" s="545"/>
      <c r="Q177" s="545"/>
      <c r="R177" s="545"/>
      <c r="S177" s="545"/>
      <c r="W177" s="545"/>
      <c r="X177" s="545"/>
      <c r="Y177" s="545"/>
      <c r="Z177" s="545"/>
      <c r="AA177" s="545"/>
      <c r="AB177" s="545"/>
      <c r="AC177" s="545"/>
    </row>
    <row r="178" spans="1:29" ht="12.75" customHeight="1">
      <c r="A178" s="545"/>
      <c r="B178" s="545"/>
      <c r="C178" s="545"/>
      <c r="D178" s="545"/>
      <c r="E178" s="545"/>
      <c r="F178" s="545"/>
      <c r="H178" s="545"/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5"/>
      <c r="W178" s="545"/>
      <c r="X178" s="545"/>
      <c r="Y178" s="545"/>
      <c r="Z178" s="545"/>
      <c r="AA178" s="545"/>
      <c r="AB178" s="545"/>
      <c r="AC178" s="545"/>
    </row>
    <row r="179" spans="1:29" ht="12.75" customHeight="1">
      <c r="A179" s="545"/>
      <c r="B179" s="545"/>
      <c r="C179" s="545"/>
      <c r="D179" s="545"/>
      <c r="E179" s="545"/>
      <c r="F179" s="545"/>
      <c r="H179" s="545"/>
      <c r="I179" s="545"/>
      <c r="J179" s="545"/>
      <c r="K179" s="545"/>
      <c r="L179" s="545"/>
      <c r="M179" s="545"/>
      <c r="N179" s="545"/>
      <c r="O179" s="545"/>
      <c r="P179" s="545"/>
      <c r="Q179" s="545"/>
      <c r="R179" s="545"/>
      <c r="S179" s="545"/>
      <c r="W179" s="545"/>
      <c r="X179" s="545"/>
      <c r="Y179" s="545"/>
      <c r="Z179" s="545"/>
      <c r="AA179" s="545"/>
      <c r="AB179" s="545"/>
      <c r="AC179" s="545"/>
    </row>
    <row r="180" spans="1:29" ht="12.75" customHeight="1">
      <c r="A180" s="545"/>
      <c r="B180" s="545"/>
      <c r="C180" s="545"/>
      <c r="D180" s="545"/>
      <c r="E180" s="545"/>
      <c r="F180" s="545"/>
      <c r="H180" s="545"/>
      <c r="I180" s="545"/>
      <c r="J180" s="545"/>
      <c r="K180" s="545"/>
      <c r="L180" s="545"/>
      <c r="M180" s="545"/>
      <c r="N180" s="545"/>
      <c r="O180" s="545"/>
      <c r="P180" s="545"/>
      <c r="Q180" s="545"/>
      <c r="R180" s="545"/>
      <c r="S180" s="545"/>
      <c r="W180" s="545"/>
      <c r="X180" s="545"/>
      <c r="Y180" s="545"/>
      <c r="Z180" s="545"/>
      <c r="AA180" s="545"/>
      <c r="AB180" s="545"/>
      <c r="AC180" s="545"/>
    </row>
    <row r="181" spans="1:29" ht="12.75" customHeight="1">
      <c r="A181" s="545"/>
      <c r="B181" s="545"/>
      <c r="C181" s="545"/>
      <c r="D181" s="545"/>
      <c r="E181" s="545"/>
      <c r="F181" s="545"/>
      <c r="H181" s="545"/>
      <c r="I181" s="545"/>
      <c r="J181" s="545"/>
      <c r="K181" s="545"/>
      <c r="L181" s="545"/>
      <c r="M181" s="545"/>
      <c r="N181" s="545"/>
      <c r="O181" s="545"/>
      <c r="P181" s="545"/>
      <c r="Q181" s="545"/>
      <c r="R181" s="545"/>
      <c r="S181" s="545"/>
      <c r="W181" s="545"/>
      <c r="X181" s="545"/>
      <c r="Y181" s="545"/>
      <c r="Z181" s="545"/>
      <c r="AA181" s="545"/>
      <c r="AB181" s="545"/>
      <c r="AC181" s="545"/>
    </row>
    <row r="182" spans="1:29" ht="12.75" customHeight="1">
      <c r="A182" s="545"/>
      <c r="B182" s="545"/>
      <c r="C182" s="545"/>
      <c r="D182" s="545"/>
      <c r="E182" s="545"/>
      <c r="F182" s="545"/>
      <c r="H182" s="545"/>
      <c r="I182" s="545"/>
      <c r="J182" s="545"/>
      <c r="K182" s="545"/>
      <c r="L182" s="545"/>
      <c r="M182" s="545"/>
      <c r="N182" s="545"/>
      <c r="O182" s="545"/>
      <c r="P182" s="545"/>
      <c r="Q182" s="545"/>
      <c r="R182" s="545"/>
      <c r="S182" s="545"/>
      <c r="W182" s="545"/>
      <c r="X182" s="545"/>
      <c r="Y182" s="545"/>
      <c r="Z182" s="545"/>
      <c r="AA182" s="545"/>
      <c r="AB182" s="545"/>
      <c r="AC182" s="545"/>
    </row>
    <row r="183" spans="1:29" ht="12.75" customHeight="1">
      <c r="A183" s="545"/>
      <c r="B183" s="545"/>
      <c r="C183" s="545"/>
      <c r="D183" s="545"/>
      <c r="E183" s="545"/>
      <c r="F183" s="545"/>
      <c r="H183" s="545"/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5"/>
      <c r="W183" s="545"/>
      <c r="X183" s="545"/>
      <c r="Y183" s="545"/>
      <c r="Z183" s="545"/>
      <c r="AA183" s="545"/>
      <c r="AB183" s="545"/>
      <c r="AC183" s="545"/>
    </row>
    <row r="184" spans="1:29" ht="12.75" customHeight="1">
      <c r="A184" s="545"/>
      <c r="B184" s="545"/>
      <c r="C184" s="545"/>
      <c r="D184" s="545"/>
      <c r="E184" s="545"/>
      <c r="F184" s="545"/>
      <c r="H184" s="545"/>
      <c r="I184" s="545"/>
      <c r="J184" s="545"/>
      <c r="K184" s="545"/>
      <c r="L184" s="545"/>
      <c r="M184" s="545"/>
      <c r="N184" s="545"/>
      <c r="O184" s="545"/>
      <c r="P184" s="545"/>
      <c r="Q184" s="545"/>
      <c r="R184" s="545"/>
      <c r="S184" s="545"/>
      <c r="W184" s="545"/>
      <c r="X184" s="545"/>
      <c r="Y184" s="545"/>
      <c r="Z184" s="545"/>
      <c r="AA184" s="545"/>
      <c r="AB184" s="545"/>
      <c r="AC184" s="545"/>
    </row>
    <row r="185" spans="1:29" ht="12.75" customHeight="1">
      <c r="A185" s="545"/>
      <c r="B185" s="545"/>
      <c r="C185" s="545"/>
      <c r="D185" s="545"/>
      <c r="E185" s="545"/>
      <c r="F185" s="545"/>
      <c r="H185" s="545"/>
      <c r="I185" s="545"/>
      <c r="J185" s="545"/>
      <c r="K185" s="545"/>
      <c r="L185" s="545"/>
      <c r="M185" s="545"/>
      <c r="N185" s="545"/>
      <c r="O185" s="545"/>
      <c r="P185" s="545"/>
      <c r="Q185" s="545"/>
      <c r="R185" s="545"/>
      <c r="S185" s="545"/>
      <c r="W185" s="545"/>
      <c r="X185" s="545"/>
      <c r="Y185" s="545"/>
      <c r="Z185" s="545"/>
      <c r="AA185" s="545"/>
      <c r="AB185" s="545"/>
      <c r="AC185" s="545"/>
    </row>
    <row r="186" spans="1:29" ht="12.75" customHeight="1">
      <c r="A186" s="545"/>
      <c r="B186" s="545"/>
      <c r="C186" s="545"/>
      <c r="D186" s="545"/>
      <c r="E186" s="545"/>
      <c r="F186" s="545"/>
      <c r="H186" s="545"/>
      <c r="I186" s="545"/>
      <c r="J186" s="545"/>
      <c r="K186" s="545"/>
      <c r="L186" s="545"/>
      <c r="M186" s="545"/>
      <c r="N186" s="545"/>
      <c r="O186" s="545"/>
      <c r="P186" s="545"/>
      <c r="Q186" s="545"/>
      <c r="R186" s="545"/>
      <c r="S186" s="545"/>
      <c r="W186" s="545"/>
      <c r="X186" s="545"/>
      <c r="Y186" s="545"/>
      <c r="Z186" s="545"/>
      <c r="AA186" s="545"/>
      <c r="AB186" s="545"/>
      <c r="AC186" s="545"/>
    </row>
    <row r="187" spans="1:29" ht="12.75" customHeight="1">
      <c r="A187" s="545"/>
      <c r="B187" s="545"/>
      <c r="C187" s="545"/>
      <c r="D187" s="545"/>
      <c r="E187" s="545"/>
      <c r="F187" s="545"/>
      <c r="H187" s="545"/>
      <c r="I187" s="545"/>
      <c r="J187" s="545"/>
      <c r="K187" s="545"/>
      <c r="L187" s="545"/>
      <c r="M187" s="545"/>
      <c r="N187" s="545"/>
      <c r="O187" s="545"/>
      <c r="P187" s="545"/>
      <c r="Q187" s="545"/>
      <c r="R187" s="545"/>
      <c r="S187" s="545"/>
      <c r="W187" s="545"/>
      <c r="X187" s="545"/>
      <c r="Y187" s="545"/>
      <c r="Z187" s="545"/>
      <c r="AA187" s="545"/>
      <c r="AB187" s="545"/>
      <c r="AC187" s="545"/>
    </row>
    <row r="188" spans="1:29" ht="12.75" customHeight="1">
      <c r="A188" s="545"/>
      <c r="B188" s="545"/>
      <c r="C188" s="545"/>
      <c r="D188" s="545"/>
      <c r="E188" s="545"/>
      <c r="F188" s="545"/>
      <c r="H188" s="545"/>
      <c r="I188" s="545"/>
      <c r="J188" s="545"/>
      <c r="K188" s="545"/>
      <c r="L188" s="545"/>
      <c r="M188" s="545"/>
      <c r="N188" s="545"/>
      <c r="O188" s="545"/>
      <c r="P188" s="545"/>
      <c r="Q188" s="545"/>
      <c r="R188" s="545"/>
      <c r="S188" s="545"/>
      <c r="W188" s="545"/>
      <c r="X188" s="545"/>
      <c r="Y188" s="545"/>
      <c r="Z188" s="545"/>
      <c r="AA188" s="545"/>
      <c r="AB188" s="545"/>
      <c r="AC188" s="545"/>
    </row>
    <row r="189" spans="1:29" ht="12.75" customHeight="1">
      <c r="A189" s="545"/>
      <c r="B189" s="545"/>
      <c r="C189" s="545"/>
      <c r="D189" s="545"/>
      <c r="E189" s="545"/>
      <c r="F189" s="545"/>
      <c r="H189" s="545"/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45"/>
      <c r="W189" s="545"/>
      <c r="X189" s="545"/>
      <c r="Y189" s="545"/>
      <c r="Z189" s="545"/>
      <c r="AA189" s="545"/>
      <c r="AB189" s="545"/>
      <c r="AC189" s="545"/>
    </row>
    <row r="190" spans="1:29" ht="12.75" customHeight="1">
      <c r="A190" s="545"/>
      <c r="B190" s="545"/>
      <c r="C190" s="545"/>
      <c r="D190" s="545"/>
      <c r="E190" s="545"/>
      <c r="F190" s="545"/>
      <c r="H190" s="545"/>
      <c r="I190" s="545"/>
      <c r="J190" s="545"/>
      <c r="K190" s="545"/>
      <c r="L190" s="545"/>
      <c r="M190" s="545"/>
      <c r="N190" s="545"/>
      <c r="O190" s="545"/>
      <c r="P190" s="545"/>
      <c r="Q190" s="545"/>
      <c r="R190" s="545"/>
      <c r="S190" s="545"/>
      <c r="W190" s="545"/>
      <c r="X190" s="545"/>
      <c r="Y190" s="545"/>
      <c r="Z190" s="545"/>
      <c r="AA190" s="545"/>
      <c r="AB190" s="545"/>
      <c r="AC190" s="545"/>
    </row>
    <row r="191" spans="1:29" ht="12.75" customHeight="1">
      <c r="A191" s="545"/>
      <c r="B191" s="545"/>
      <c r="C191" s="545"/>
      <c r="D191" s="545"/>
      <c r="E191" s="545"/>
      <c r="F191" s="545"/>
      <c r="H191" s="545"/>
      <c r="I191" s="545"/>
      <c r="J191" s="545"/>
      <c r="K191" s="545"/>
      <c r="L191" s="545"/>
      <c r="M191" s="545"/>
      <c r="N191" s="545"/>
      <c r="O191" s="545"/>
      <c r="P191" s="545"/>
      <c r="Q191" s="545"/>
      <c r="R191" s="545"/>
      <c r="S191" s="545"/>
      <c r="W191" s="545"/>
      <c r="X191" s="545"/>
      <c r="Y191" s="545"/>
      <c r="Z191" s="545"/>
      <c r="AA191" s="545"/>
      <c r="AB191" s="545"/>
      <c r="AC191" s="545"/>
    </row>
    <row r="192" spans="1:29" ht="12.75" customHeight="1">
      <c r="A192" s="545"/>
      <c r="B192" s="545"/>
      <c r="C192" s="545"/>
      <c r="D192" s="545"/>
      <c r="E192" s="545"/>
      <c r="F192" s="545"/>
      <c r="H192" s="545"/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45"/>
      <c r="W192" s="545"/>
      <c r="X192" s="545"/>
      <c r="Y192" s="545"/>
      <c r="Z192" s="545"/>
      <c r="AA192" s="545"/>
      <c r="AB192" s="545"/>
      <c r="AC192" s="545"/>
    </row>
    <row r="193" spans="1:29" ht="12.75" customHeight="1">
      <c r="A193" s="545"/>
      <c r="B193" s="545"/>
      <c r="C193" s="545"/>
      <c r="D193" s="545"/>
      <c r="E193" s="545"/>
      <c r="F193" s="545"/>
      <c r="H193" s="545"/>
      <c r="I193" s="545"/>
      <c r="J193" s="545"/>
      <c r="K193" s="545"/>
      <c r="L193" s="545"/>
      <c r="M193" s="545"/>
      <c r="N193" s="545"/>
      <c r="O193" s="545"/>
      <c r="P193" s="545"/>
      <c r="Q193" s="545"/>
      <c r="R193" s="545"/>
      <c r="S193" s="545"/>
      <c r="W193" s="545"/>
      <c r="X193" s="545"/>
      <c r="Y193" s="545"/>
      <c r="Z193" s="545"/>
      <c r="AA193" s="545"/>
      <c r="AB193" s="545"/>
      <c r="AC193" s="545"/>
    </row>
    <row r="194" spans="1:29" ht="12.75" customHeight="1">
      <c r="A194" s="545"/>
      <c r="B194" s="545"/>
      <c r="C194" s="545"/>
      <c r="D194" s="545"/>
      <c r="E194" s="545"/>
      <c r="F194" s="545"/>
      <c r="H194" s="545"/>
      <c r="I194" s="545"/>
      <c r="J194" s="545"/>
      <c r="K194" s="545"/>
      <c r="L194" s="545"/>
      <c r="M194" s="545"/>
      <c r="N194" s="545"/>
      <c r="O194" s="545"/>
      <c r="P194" s="545"/>
      <c r="Q194" s="545"/>
      <c r="R194" s="545"/>
      <c r="S194" s="545"/>
      <c r="W194" s="545"/>
      <c r="X194" s="545"/>
      <c r="Y194" s="545"/>
      <c r="Z194" s="545"/>
      <c r="AA194" s="545"/>
      <c r="AB194" s="545"/>
      <c r="AC194" s="545"/>
    </row>
    <row r="195" spans="1:29" ht="12.75" customHeight="1">
      <c r="A195" s="545"/>
      <c r="B195" s="545"/>
      <c r="C195" s="545"/>
      <c r="D195" s="545"/>
      <c r="E195" s="545"/>
      <c r="F195" s="545"/>
      <c r="H195" s="545"/>
      <c r="I195" s="545"/>
      <c r="J195" s="545"/>
      <c r="K195" s="545"/>
      <c r="L195" s="545"/>
      <c r="M195" s="545"/>
      <c r="N195" s="545"/>
      <c r="O195" s="545"/>
      <c r="P195" s="545"/>
      <c r="Q195" s="545"/>
      <c r="R195" s="545"/>
      <c r="S195" s="545"/>
      <c r="W195" s="545"/>
      <c r="X195" s="545"/>
      <c r="Y195" s="545"/>
      <c r="Z195" s="545"/>
      <c r="AA195" s="545"/>
      <c r="AB195" s="545"/>
      <c r="AC195" s="545"/>
    </row>
    <row r="196" spans="1:29" ht="12.75" customHeight="1">
      <c r="A196" s="545"/>
      <c r="B196" s="545"/>
      <c r="C196" s="545"/>
      <c r="D196" s="545"/>
      <c r="E196" s="545"/>
      <c r="F196" s="545"/>
      <c r="H196" s="545"/>
      <c r="I196" s="545"/>
      <c r="J196" s="545"/>
      <c r="K196" s="545"/>
      <c r="L196" s="545"/>
      <c r="M196" s="545"/>
      <c r="N196" s="545"/>
      <c r="O196" s="545"/>
      <c r="P196" s="545"/>
      <c r="Q196" s="545"/>
      <c r="R196" s="545"/>
      <c r="S196" s="545"/>
      <c r="W196" s="545"/>
      <c r="X196" s="545"/>
      <c r="Y196" s="545"/>
      <c r="Z196" s="545"/>
      <c r="AA196" s="545"/>
      <c r="AB196" s="545"/>
      <c r="AC196" s="545"/>
    </row>
    <row r="197" spans="1:29" ht="12.75" customHeight="1">
      <c r="A197" s="545"/>
      <c r="B197" s="545"/>
      <c r="C197" s="545"/>
      <c r="D197" s="545"/>
      <c r="E197" s="545"/>
      <c r="F197" s="545"/>
      <c r="H197" s="545"/>
      <c r="I197" s="545"/>
      <c r="J197" s="545"/>
      <c r="K197" s="545"/>
      <c r="L197" s="545"/>
      <c r="M197" s="545"/>
      <c r="N197" s="545"/>
      <c r="O197" s="545"/>
      <c r="P197" s="545"/>
      <c r="Q197" s="545"/>
      <c r="R197" s="545"/>
      <c r="S197" s="545"/>
      <c r="W197" s="545"/>
      <c r="X197" s="545"/>
      <c r="Y197" s="545"/>
      <c r="Z197" s="545"/>
      <c r="AA197" s="545"/>
      <c r="AB197" s="545"/>
      <c r="AC197" s="545"/>
    </row>
    <row r="198" spans="1:29" ht="12.75" customHeight="1">
      <c r="A198" s="545"/>
      <c r="B198" s="545"/>
      <c r="C198" s="545"/>
      <c r="D198" s="545"/>
      <c r="E198" s="545"/>
      <c r="F198" s="545"/>
      <c r="H198" s="545"/>
      <c r="I198" s="545"/>
      <c r="J198" s="545"/>
      <c r="K198" s="545"/>
      <c r="L198" s="545"/>
      <c r="M198" s="545"/>
      <c r="N198" s="545"/>
      <c r="O198" s="545"/>
      <c r="P198" s="545"/>
      <c r="Q198" s="545"/>
      <c r="R198" s="545"/>
      <c r="S198" s="545"/>
      <c r="W198" s="545"/>
      <c r="X198" s="545"/>
      <c r="Y198" s="545"/>
      <c r="Z198" s="545"/>
      <c r="AA198" s="545"/>
      <c r="AB198" s="545"/>
      <c r="AC198" s="545"/>
    </row>
    <row r="199" spans="1:29" ht="12.75" customHeight="1">
      <c r="A199" s="545"/>
      <c r="B199" s="545"/>
      <c r="C199" s="545"/>
      <c r="D199" s="545"/>
      <c r="E199" s="545"/>
      <c r="F199" s="545"/>
      <c r="H199" s="545"/>
      <c r="I199" s="545"/>
      <c r="J199" s="545"/>
      <c r="K199" s="545"/>
      <c r="L199" s="545"/>
      <c r="M199" s="545"/>
      <c r="N199" s="545"/>
      <c r="O199" s="545"/>
      <c r="P199" s="545"/>
      <c r="Q199" s="545"/>
      <c r="R199" s="545"/>
      <c r="S199" s="545"/>
      <c r="W199" s="545"/>
      <c r="X199" s="545"/>
      <c r="Y199" s="545"/>
      <c r="Z199" s="545"/>
      <c r="AA199" s="545"/>
      <c r="AB199" s="545"/>
      <c r="AC199" s="545"/>
    </row>
    <row r="200" spans="1:29" ht="12.75" customHeight="1">
      <c r="A200" s="545"/>
      <c r="B200" s="545"/>
      <c r="C200" s="545"/>
      <c r="D200" s="545"/>
      <c r="E200" s="545"/>
      <c r="F200" s="545"/>
      <c r="H200" s="545"/>
      <c r="I200" s="545"/>
      <c r="J200" s="545"/>
      <c r="K200" s="545"/>
      <c r="L200" s="545"/>
      <c r="M200" s="545"/>
      <c r="N200" s="545"/>
      <c r="O200" s="545"/>
      <c r="P200" s="545"/>
      <c r="Q200" s="545"/>
      <c r="R200" s="545"/>
      <c r="S200" s="545"/>
      <c r="W200" s="545"/>
      <c r="X200" s="545"/>
      <c r="Y200" s="545"/>
      <c r="Z200" s="545"/>
      <c r="AA200" s="545"/>
      <c r="AB200" s="545"/>
      <c r="AC200" s="545"/>
    </row>
    <row r="201" spans="1:29" ht="12.75" customHeight="1">
      <c r="A201" s="545"/>
      <c r="B201" s="545"/>
      <c r="C201" s="545"/>
      <c r="D201" s="545"/>
      <c r="E201" s="545"/>
      <c r="F201" s="545"/>
      <c r="H201" s="545"/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45"/>
      <c r="W201" s="545"/>
      <c r="X201" s="545"/>
      <c r="Y201" s="545"/>
      <c r="Z201" s="545"/>
      <c r="AA201" s="545"/>
      <c r="AB201" s="545"/>
      <c r="AC201" s="545"/>
    </row>
    <row r="202" spans="1:29" ht="12.75" customHeight="1">
      <c r="A202" s="545"/>
      <c r="B202" s="545"/>
      <c r="C202" s="545"/>
      <c r="D202" s="545"/>
      <c r="E202" s="545"/>
      <c r="F202" s="545"/>
      <c r="H202" s="545"/>
      <c r="I202" s="545"/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W202" s="545"/>
      <c r="X202" s="545"/>
      <c r="Y202" s="545"/>
      <c r="Z202" s="545"/>
      <c r="AA202" s="545"/>
      <c r="AB202" s="545"/>
      <c r="AC202" s="545"/>
    </row>
    <row r="203" spans="1:29" ht="12.75" customHeight="1">
      <c r="A203" s="545"/>
      <c r="B203" s="545"/>
      <c r="C203" s="545"/>
      <c r="D203" s="545"/>
      <c r="E203" s="545"/>
      <c r="F203" s="545"/>
      <c r="H203" s="545"/>
      <c r="I203" s="545"/>
      <c r="J203" s="545"/>
      <c r="K203" s="545"/>
      <c r="L203" s="545"/>
      <c r="M203" s="545"/>
      <c r="N203" s="545"/>
      <c r="O203" s="545"/>
      <c r="P203" s="545"/>
      <c r="Q203" s="545"/>
      <c r="R203" s="545"/>
      <c r="S203" s="545"/>
      <c r="W203" s="545"/>
      <c r="X203" s="545"/>
      <c r="Y203" s="545"/>
      <c r="Z203" s="545"/>
      <c r="AA203" s="545"/>
      <c r="AB203" s="545"/>
      <c r="AC203" s="545"/>
    </row>
    <row r="204" spans="1:29" ht="12.75" customHeight="1">
      <c r="A204" s="545"/>
      <c r="B204" s="545"/>
      <c r="C204" s="545"/>
      <c r="D204" s="545"/>
      <c r="E204" s="545"/>
      <c r="F204" s="545"/>
      <c r="H204" s="545"/>
      <c r="I204" s="545"/>
      <c r="J204" s="545"/>
      <c r="K204" s="545"/>
      <c r="L204" s="545"/>
      <c r="M204" s="545"/>
      <c r="N204" s="545"/>
      <c r="O204" s="545"/>
      <c r="P204" s="545"/>
      <c r="Q204" s="545"/>
      <c r="R204" s="545"/>
      <c r="S204" s="545"/>
      <c r="W204" s="545"/>
      <c r="X204" s="545"/>
      <c r="Y204" s="545"/>
      <c r="Z204" s="545"/>
      <c r="AA204" s="545"/>
      <c r="AB204" s="545"/>
      <c r="AC204" s="545"/>
    </row>
    <row r="205" spans="1:29" ht="12.75" customHeight="1">
      <c r="A205" s="545"/>
      <c r="B205" s="545"/>
      <c r="C205" s="545"/>
      <c r="D205" s="545"/>
      <c r="E205" s="545"/>
      <c r="F205" s="545"/>
      <c r="H205" s="545"/>
      <c r="I205" s="545"/>
      <c r="J205" s="545"/>
      <c r="K205" s="545"/>
      <c r="L205" s="545"/>
      <c r="M205" s="545"/>
      <c r="N205" s="545"/>
      <c r="O205" s="545"/>
      <c r="P205" s="545"/>
      <c r="Q205" s="545"/>
      <c r="R205" s="545"/>
      <c r="S205" s="545"/>
      <c r="W205" s="545"/>
      <c r="X205" s="545"/>
      <c r="Y205" s="545"/>
      <c r="Z205" s="545"/>
      <c r="AA205" s="545"/>
      <c r="AB205" s="545"/>
      <c r="AC205" s="545"/>
    </row>
    <row r="206" spans="1:29" ht="12.75" customHeight="1">
      <c r="A206" s="545"/>
      <c r="B206" s="545"/>
      <c r="C206" s="545"/>
      <c r="D206" s="545"/>
      <c r="E206" s="545"/>
      <c r="F206" s="545"/>
      <c r="H206" s="545"/>
      <c r="I206" s="545"/>
      <c r="J206" s="545"/>
      <c r="K206" s="545"/>
      <c r="L206" s="545"/>
      <c r="M206" s="545"/>
      <c r="N206" s="545"/>
      <c r="O206" s="545"/>
      <c r="P206" s="545"/>
      <c r="Q206" s="545"/>
      <c r="R206" s="545"/>
      <c r="S206" s="545"/>
      <c r="W206" s="545"/>
      <c r="X206" s="545"/>
      <c r="Y206" s="545"/>
      <c r="Z206" s="545"/>
      <c r="AA206" s="545"/>
      <c r="AB206" s="545"/>
      <c r="AC206" s="545"/>
    </row>
    <row r="207" spans="1:29" ht="12.75" customHeight="1">
      <c r="A207" s="545"/>
      <c r="B207" s="545"/>
      <c r="C207" s="545"/>
      <c r="D207" s="545"/>
      <c r="E207" s="545"/>
      <c r="F207" s="545"/>
      <c r="H207" s="545"/>
      <c r="I207" s="545"/>
      <c r="J207" s="545"/>
      <c r="K207" s="545"/>
      <c r="L207" s="545"/>
      <c r="M207" s="545"/>
      <c r="N207" s="545"/>
      <c r="O207" s="545"/>
      <c r="P207" s="545"/>
      <c r="Q207" s="545"/>
      <c r="R207" s="545"/>
      <c r="S207" s="545"/>
      <c r="W207" s="545"/>
      <c r="X207" s="545"/>
      <c r="Y207" s="545"/>
      <c r="Z207" s="545"/>
      <c r="AA207" s="545"/>
      <c r="AB207" s="545"/>
      <c r="AC207" s="545"/>
    </row>
    <row r="208" spans="1:29" ht="12.75" customHeight="1">
      <c r="A208" s="545"/>
      <c r="B208" s="545"/>
      <c r="C208" s="545"/>
      <c r="D208" s="545"/>
      <c r="E208" s="545"/>
      <c r="F208" s="545"/>
      <c r="H208" s="545"/>
      <c r="I208" s="545"/>
      <c r="J208" s="545"/>
      <c r="K208" s="545"/>
      <c r="L208" s="545"/>
      <c r="M208" s="545"/>
      <c r="N208" s="545"/>
      <c r="O208" s="545"/>
      <c r="P208" s="545"/>
      <c r="Q208" s="545"/>
      <c r="R208" s="545"/>
      <c r="S208" s="545"/>
      <c r="W208" s="545"/>
      <c r="X208" s="545"/>
      <c r="Y208" s="545"/>
      <c r="Z208" s="545"/>
      <c r="AA208" s="545"/>
      <c r="AB208" s="545"/>
      <c r="AC208" s="545"/>
    </row>
    <row r="209" spans="1:29" ht="12.75" customHeight="1">
      <c r="A209" s="545"/>
      <c r="B209" s="545"/>
      <c r="C209" s="545"/>
      <c r="D209" s="545"/>
      <c r="E209" s="545"/>
      <c r="F209" s="545"/>
      <c r="H209" s="545"/>
      <c r="I209" s="545"/>
      <c r="J209" s="545"/>
      <c r="K209" s="545"/>
      <c r="L209" s="545"/>
      <c r="M209" s="545"/>
      <c r="N209" s="545"/>
      <c r="O209" s="545"/>
      <c r="P209" s="545"/>
      <c r="Q209" s="545"/>
      <c r="R209" s="545"/>
      <c r="S209" s="545"/>
      <c r="W209" s="545"/>
      <c r="X209" s="545"/>
      <c r="Y209" s="545"/>
      <c r="Z209" s="545"/>
      <c r="AA209" s="545"/>
      <c r="AB209" s="545"/>
      <c r="AC209" s="545"/>
    </row>
    <row r="210" spans="1:29" ht="12.75" customHeight="1">
      <c r="A210" s="545"/>
      <c r="B210" s="545"/>
      <c r="C210" s="545"/>
      <c r="D210" s="545"/>
      <c r="E210" s="545"/>
      <c r="F210" s="545"/>
      <c r="H210" s="545"/>
      <c r="I210" s="545"/>
      <c r="J210" s="545"/>
      <c r="K210" s="545"/>
      <c r="L210" s="545"/>
      <c r="M210" s="545"/>
      <c r="N210" s="545"/>
      <c r="O210" s="545"/>
      <c r="P210" s="545"/>
      <c r="Q210" s="545"/>
      <c r="R210" s="545"/>
      <c r="S210" s="545"/>
      <c r="W210" s="545"/>
      <c r="X210" s="545"/>
      <c r="Y210" s="545"/>
      <c r="Z210" s="545"/>
      <c r="AA210" s="545"/>
      <c r="AB210" s="545"/>
      <c r="AC210" s="545"/>
    </row>
    <row r="211" spans="1:29" ht="12.75" customHeight="1">
      <c r="A211" s="545"/>
      <c r="B211" s="545"/>
      <c r="C211" s="545"/>
      <c r="D211" s="545"/>
      <c r="E211" s="545"/>
      <c r="F211" s="545"/>
      <c r="H211" s="545"/>
      <c r="I211" s="545"/>
      <c r="J211" s="545"/>
      <c r="K211" s="545"/>
      <c r="L211" s="545"/>
      <c r="M211" s="545"/>
      <c r="N211" s="545"/>
      <c r="O211" s="545"/>
      <c r="P211" s="545"/>
      <c r="Q211" s="545"/>
      <c r="R211" s="545"/>
      <c r="S211" s="545"/>
      <c r="W211" s="545"/>
      <c r="X211" s="545"/>
      <c r="Y211" s="545"/>
      <c r="Z211" s="545"/>
      <c r="AA211" s="545"/>
      <c r="AB211" s="545"/>
      <c r="AC211" s="545"/>
    </row>
    <row r="212" spans="1:29" ht="12.75" customHeight="1">
      <c r="A212" s="545"/>
      <c r="B212" s="545"/>
      <c r="C212" s="545"/>
      <c r="D212" s="545"/>
      <c r="E212" s="545"/>
      <c r="F212" s="545"/>
      <c r="H212" s="545"/>
      <c r="I212" s="545"/>
      <c r="J212" s="545"/>
      <c r="K212" s="545"/>
      <c r="L212" s="545"/>
      <c r="M212" s="545"/>
      <c r="N212" s="545"/>
      <c r="O212" s="545"/>
      <c r="P212" s="545"/>
      <c r="Q212" s="545"/>
      <c r="R212" s="545"/>
      <c r="S212" s="545"/>
      <c r="W212" s="545"/>
      <c r="X212" s="545"/>
      <c r="Y212" s="545"/>
      <c r="Z212" s="545"/>
      <c r="AA212" s="545"/>
      <c r="AB212" s="545"/>
      <c r="AC212" s="545"/>
    </row>
    <row r="213" spans="1:29" ht="12.75" customHeight="1">
      <c r="A213" s="545"/>
      <c r="B213" s="545"/>
      <c r="C213" s="545"/>
      <c r="D213" s="545"/>
      <c r="E213" s="545"/>
      <c r="F213" s="545"/>
      <c r="H213" s="545"/>
      <c r="I213" s="545"/>
      <c r="J213" s="545"/>
      <c r="K213" s="545"/>
      <c r="L213" s="545"/>
      <c r="M213" s="545"/>
      <c r="N213" s="545"/>
      <c r="O213" s="545"/>
      <c r="P213" s="545"/>
      <c r="Q213" s="545"/>
      <c r="R213" s="545"/>
      <c r="S213" s="545"/>
      <c r="W213" s="545"/>
      <c r="X213" s="545"/>
      <c r="Y213" s="545"/>
      <c r="Z213" s="545"/>
      <c r="AA213" s="545"/>
      <c r="AB213" s="545"/>
      <c r="AC213" s="545"/>
    </row>
    <row r="214" spans="1:29" ht="12.75" customHeight="1">
      <c r="A214" s="545"/>
      <c r="B214" s="545"/>
      <c r="C214" s="545"/>
      <c r="D214" s="545"/>
      <c r="E214" s="545"/>
      <c r="F214" s="545"/>
      <c r="H214" s="545"/>
      <c r="I214" s="545"/>
      <c r="J214" s="545"/>
      <c r="K214" s="545"/>
      <c r="L214" s="545"/>
      <c r="M214" s="545"/>
      <c r="N214" s="545"/>
      <c r="O214" s="545"/>
      <c r="P214" s="545"/>
      <c r="Q214" s="545"/>
      <c r="R214" s="545"/>
      <c r="S214" s="545"/>
      <c r="W214" s="545"/>
      <c r="X214" s="545"/>
      <c r="Y214" s="545"/>
      <c r="Z214" s="545"/>
      <c r="AA214" s="545"/>
      <c r="AB214" s="545"/>
      <c r="AC214" s="545"/>
    </row>
    <row r="215" spans="1:29" ht="12.75" customHeight="1">
      <c r="A215" s="545"/>
      <c r="B215" s="545"/>
      <c r="C215" s="545"/>
      <c r="D215" s="545"/>
      <c r="E215" s="545"/>
      <c r="F215" s="545"/>
      <c r="H215" s="545"/>
      <c r="I215" s="545"/>
      <c r="J215" s="545"/>
      <c r="K215" s="545"/>
      <c r="L215" s="545"/>
      <c r="M215" s="545"/>
      <c r="N215" s="545"/>
      <c r="O215" s="545"/>
      <c r="P215" s="545"/>
      <c r="Q215" s="545"/>
      <c r="R215" s="545"/>
      <c r="S215" s="545"/>
      <c r="W215" s="545"/>
      <c r="X215" s="545"/>
      <c r="Y215" s="545"/>
      <c r="Z215" s="545"/>
      <c r="AA215" s="545"/>
      <c r="AB215" s="545"/>
      <c r="AC215" s="545"/>
    </row>
    <row r="216" spans="1:29" ht="12.75" customHeight="1">
      <c r="A216" s="545"/>
      <c r="B216" s="545"/>
      <c r="C216" s="545"/>
      <c r="D216" s="545"/>
      <c r="E216" s="545"/>
      <c r="F216" s="545"/>
      <c r="H216" s="545"/>
      <c r="I216" s="545"/>
      <c r="J216" s="545"/>
      <c r="K216" s="545"/>
      <c r="L216" s="545"/>
      <c r="M216" s="545"/>
      <c r="N216" s="545"/>
      <c r="O216" s="545"/>
      <c r="P216" s="545"/>
      <c r="Q216" s="545"/>
      <c r="R216" s="545"/>
      <c r="S216" s="545"/>
      <c r="W216" s="545"/>
      <c r="X216" s="545"/>
      <c r="Y216" s="545"/>
      <c r="Z216" s="545"/>
      <c r="AA216" s="545"/>
      <c r="AB216" s="545"/>
      <c r="AC216" s="545"/>
    </row>
    <row r="217" spans="1:29" ht="12.75" customHeight="1">
      <c r="A217" s="545"/>
      <c r="B217" s="545"/>
      <c r="C217" s="545"/>
      <c r="D217" s="545"/>
      <c r="E217" s="545"/>
      <c r="F217" s="545"/>
      <c r="H217" s="545"/>
      <c r="I217" s="545"/>
      <c r="J217" s="545"/>
      <c r="K217" s="545"/>
      <c r="L217" s="545"/>
      <c r="M217" s="545"/>
      <c r="N217" s="545"/>
      <c r="O217" s="545"/>
      <c r="P217" s="545"/>
      <c r="Q217" s="545"/>
      <c r="R217" s="545"/>
      <c r="S217" s="545"/>
      <c r="W217" s="545"/>
      <c r="X217" s="545"/>
      <c r="Y217" s="545"/>
      <c r="Z217" s="545"/>
      <c r="AA217" s="545"/>
      <c r="AB217" s="545"/>
      <c r="AC217" s="545"/>
    </row>
    <row r="218" spans="1:29" ht="12.75" customHeight="1">
      <c r="A218" s="545"/>
      <c r="B218" s="545"/>
      <c r="C218" s="545"/>
      <c r="D218" s="545"/>
      <c r="E218" s="545"/>
      <c r="F218" s="545"/>
      <c r="H218" s="545"/>
      <c r="I218" s="545"/>
      <c r="J218" s="545"/>
      <c r="K218" s="545"/>
      <c r="L218" s="545"/>
      <c r="M218" s="545"/>
      <c r="N218" s="545"/>
      <c r="O218" s="545"/>
      <c r="P218" s="545"/>
      <c r="Q218" s="545"/>
      <c r="R218" s="545"/>
      <c r="S218" s="545"/>
      <c r="W218" s="545"/>
      <c r="X218" s="545"/>
      <c r="Y218" s="545"/>
      <c r="Z218" s="545"/>
      <c r="AA218" s="545"/>
      <c r="AB218" s="545"/>
      <c r="AC218" s="545"/>
    </row>
    <row r="219" spans="1:29" ht="12.75" customHeight="1">
      <c r="A219" s="545"/>
      <c r="B219" s="545"/>
      <c r="C219" s="545"/>
      <c r="D219" s="545"/>
      <c r="E219" s="545"/>
      <c r="F219" s="545"/>
      <c r="H219" s="545"/>
      <c r="I219" s="545"/>
      <c r="J219" s="545"/>
      <c r="K219" s="545"/>
      <c r="L219" s="545"/>
      <c r="M219" s="545"/>
      <c r="N219" s="545"/>
      <c r="O219" s="545"/>
      <c r="P219" s="545"/>
      <c r="Q219" s="545"/>
      <c r="R219" s="545"/>
      <c r="S219" s="545"/>
      <c r="W219" s="545"/>
      <c r="X219" s="545"/>
      <c r="Y219" s="545"/>
      <c r="Z219" s="545"/>
      <c r="AA219" s="545"/>
      <c r="AB219" s="545"/>
      <c r="AC219" s="545"/>
    </row>
    <row r="220" spans="1:29" ht="12.75" customHeight="1">
      <c r="A220" s="545"/>
      <c r="B220" s="545"/>
      <c r="C220" s="545"/>
      <c r="D220" s="545"/>
      <c r="E220" s="545"/>
      <c r="F220" s="545"/>
      <c r="H220" s="545"/>
      <c r="I220" s="545"/>
      <c r="J220" s="545"/>
      <c r="K220" s="545"/>
      <c r="L220" s="545"/>
      <c r="M220" s="545"/>
      <c r="N220" s="545"/>
      <c r="O220" s="545"/>
      <c r="P220" s="545"/>
      <c r="Q220" s="545"/>
      <c r="R220" s="545"/>
      <c r="S220" s="545"/>
      <c r="W220" s="545"/>
      <c r="X220" s="545"/>
      <c r="Y220" s="545"/>
      <c r="Z220" s="545"/>
      <c r="AA220" s="545"/>
      <c r="AB220" s="545"/>
      <c r="AC220" s="545"/>
    </row>
    <row r="221" spans="1:29" ht="12.75" customHeight="1">
      <c r="A221" s="545"/>
      <c r="B221" s="545"/>
      <c r="C221" s="545"/>
      <c r="D221" s="545"/>
      <c r="E221" s="545"/>
      <c r="F221" s="545"/>
      <c r="H221" s="545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545"/>
      <c r="W221" s="545"/>
      <c r="X221" s="545"/>
      <c r="Y221" s="545"/>
      <c r="Z221" s="545"/>
      <c r="AA221" s="545"/>
      <c r="AB221" s="545"/>
      <c r="AC221" s="545"/>
    </row>
    <row r="222" spans="1:29" ht="12.75" customHeight="1">
      <c r="A222" s="545"/>
      <c r="B222" s="545"/>
      <c r="C222" s="545"/>
      <c r="D222" s="545"/>
      <c r="E222" s="545"/>
      <c r="F222" s="545"/>
      <c r="H222" s="545"/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45"/>
      <c r="W222" s="545"/>
      <c r="X222" s="545"/>
      <c r="Y222" s="545"/>
      <c r="Z222" s="545"/>
      <c r="AA222" s="545"/>
      <c r="AB222" s="545"/>
      <c r="AC222" s="545"/>
    </row>
    <row r="223" spans="1:29" ht="12.75" customHeight="1">
      <c r="A223" s="545"/>
      <c r="B223" s="545"/>
      <c r="C223" s="545"/>
      <c r="D223" s="545"/>
      <c r="E223" s="545"/>
      <c r="F223" s="545"/>
      <c r="H223" s="545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W223" s="545"/>
      <c r="X223" s="545"/>
      <c r="Y223" s="545"/>
      <c r="Z223" s="545"/>
      <c r="AA223" s="545"/>
      <c r="AB223" s="545"/>
      <c r="AC223" s="545"/>
    </row>
    <row r="224" spans="1:29" ht="12.75" customHeight="1">
      <c r="A224" s="545"/>
      <c r="B224" s="545"/>
      <c r="C224" s="545"/>
      <c r="D224" s="545"/>
      <c r="E224" s="545"/>
      <c r="F224" s="545"/>
      <c r="H224" s="545"/>
      <c r="I224" s="545"/>
      <c r="J224" s="545"/>
      <c r="K224" s="545"/>
      <c r="L224" s="545"/>
      <c r="M224" s="545"/>
      <c r="N224" s="545"/>
      <c r="O224" s="545"/>
      <c r="P224" s="545"/>
      <c r="Q224" s="545"/>
      <c r="R224" s="545"/>
      <c r="S224" s="545"/>
      <c r="W224" s="545"/>
      <c r="X224" s="545"/>
      <c r="Y224" s="545"/>
      <c r="Z224" s="545"/>
      <c r="AA224" s="545"/>
      <c r="AB224" s="545"/>
      <c r="AC224" s="545"/>
    </row>
    <row r="225" spans="1:29" ht="12.75" customHeight="1">
      <c r="A225" s="545"/>
      <c r="B225" s="545"/>
      <c r="C225" s="545"/>
      <c r="D225" s="545"/>
      <c r="E225" s="545"/>
      <c r="F225" s="545"/>
      <c r="H225" s="545"/>
      <c r="I225" s="545"/>
      <c r="J225" s="545"/>
      <c r="K225" s="545"/>
      <c r="L225" s="545"/>
      <c r="M225" s="545"/>
      <c r="N225" s="545"/>
      <c r="O225" s="545"/>
      <c r="P225" s="545"/>
      <c r="Q225" s="545"/>
      <c r="R225" s="545"/>
      <c r="S225" s="545"/>
      <c r="W225" s="545"/>
      <c r="X225" s="545"/>
      <c r="Y225" s="545"/>
      <c r="Z225" s="545"/>
      <c r="AA225" s="545"/>
      <c r="AB225" s="545"/>
      <c r="AC225" s="545"/>
    </row>
    <row r="226" spans="1:29" ht="12.75" customHeight="1">
      <c r="A226" s="545"/>
      <c r="B226" s="545"/>
      <c r="C226" s="545"/>
      <c r="D226" s="545"/>
      <c r="E226" s="545"/>
      <c r="F226" s="545"/>
      <c r="H226" s="545"/>
      <c r="I226" s="545"/>
      <c r="J226" s="545"/>
      <c r="K226" s="545"/>
      <c r="L226" s="545"/>
      <c r="M226" s="545"/>
      <c r="N226" s="545"/>
      <c r="O226" s="545"/>
      <c r="P226" s="545"/>
      <c r="Q226" s="545"/>
      <c r="R226" s="545"/>
      <c r="S226" s="545"/>
      <c r="W226" s="545"/>
      <c r="X226" s="545"/>
      <c r="Y226" s="545"/>
      <c r="Z226" s="545"/>
      <c r="AA226" s="545"/>
      <c r="AB226" s="545"/>
      <c r="AC226" s="545"/>
    </row>
    <row r="227" spans="1:29" ht="12.75" customHeight="1">
      <c r="A227" s="545"/>
      <c r="B227" s="545"/>
      <c r="C227" s="545"/>
      <c r="D227" s="545"/>
      <c r="E227" s="545"/>
      <c r="F227" s="545"/>
      <c r="H227" s="545"/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45"/>
      <c r="W227" s="545"/>
      <c r="X227" s="545"/>
      <c r="Y227" s="545"/>
      <c r="Z227" s="545"/>
      <c r="AA227" s="545"/>
      <c r="AB227" s="545"/>
      <c r="AC227" s="545"/>
    </row>
    <row r="228" spans="1:29" ht="12.75" customHeight="1">
      <c r="A228" s="545"/>
      <c r="B228" s="545"/>
      <c r="C228" s="545"/>
      <c r="D228" s="545"/>
      <c r="E228" s="545"/>
      <c r="F228" s="545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W228" s="545"/>
      <c r="X228" s="545"/>
      <c r="Y228" s="545"/>
      <c r="Z228" s="545"/>
      <c r="AA228" s="545"/>
      <c r="AB228" s="545"/>
      <c r="AC228" s="545"/>
    </row>
    <row r="229" spans="1:29" ht="12.75" customHeight="1">
      <c r="A229" s="545"/>
      <c r="B229" s="545"/>
      <c r="C229" s="545"/>
      <c r="D229" s="545"/>
      <c r="E229" s="545"/>
      <c r="F229" s="545"/>
      <c r="H229" s="545"/>
      <c r="I229" s="545"/>
      <c r="J229" s="545"/>
      <c r="K229" s="545"/>
      <c r="L229" s="545"/>
      <c r="M229" s="545"/>
      <c r="N229" s="545"/>
      <c r="O229" s="545"/>
      <c r="P229" s="545"/>
      <c r="Q229" s="545"/>
      <c r="R229" s="545"/>
      <c r="S229" s="545"/>
      <c r="W229" s="545"/>
      <c r="X229" s="545"/>
      <c r="Y229" s="545"/>
      <c r="Z229" s="545"/>
      <c r="AA229" s="545"/>
      <c r="AB229" s="545"/>
      <c r="AC229" s="545"/>
    </row>
    <row r="230" spans="1:29" ht="12.75" customHeight="1">
      <c r="A230" s="545"/>
      <c r="B230" s="545"/>
      <c r="C230" s="545"/>
      <c r="D230" s="545"/>
      <c r="E230" s="545"/>
      <c r="F230" s="545"/>
      <c r="H230" s="545"/>
      <c r="I230" s="545"/>
      <c r="J230" s="545"/>
      <c r="K230" s="545"/>
      <c r="L230" s="545"/>
      <c r="M230" s="545"/>
      <c r="N230" s="545"/>
      <c r="O230" s="545"/>
      <c r="P230" s="545"/>
      <c r="Q230" s="545"/>
      <c r="R230" s="545"/>
      <c r="S230" s="545"/>
      <c r="W230" s="545"/>
      <c r="X230" s="545"/>
      <c r="Y230" s="545"/>
      <c r="Z230" s="545"/>
      <c r="AA230" s="545"/>
      <c r="AB230" s="545"/>
      <c r="AC230" s="545"/>
    </row>
    <row r="231" spans="1:29" ht="12.75" customHeight="1">
      <c r="A231" s="545"/>
      <c r="B231" s="545"/>
      <c r="C231" s="545"/>
      <c r="D231" s="545"/>
      <c r="E231" s="545"/>
      <c r="F231" s="545"/>
      <c r="H231" s="545"/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5"/>
      <c r="W231" s="545"/>
      <c r="X231" s="545"/>
      <c r="Y231" s="545"/>
      <c r="Z231" s="545"/>
      <c r="AA231" s="545"/>
      <c r="AB231" s="545"/>
      <c r="AC231" s="545"/>
    </row>
    <row r="232" spans="1:29" ht="12.75" customHeight="1">
      <c r="A232" s="545"/>
      <c r="B232" s="545"/>
      <c r="C232" s="545"/>
      <c r="D232" s="545"/>
      <c r="E232" s="545"/>
      <c r="F232" s="545"/>
      <c r="H232" s="545"/>
      <c r="I232" s="545"/>
      <c r="J232" s="545"/>
      <c r="K232" s="545"/>
      <c r="L232" s="545"/>
      <c r="M232" s="545"/>
      <c r="N232" s="545"/>
      <c r="O232" s="545"/>
      <c r="P232" s="545"/>
      <c r="Q232" s="545"/>
      <c r="R232" s="545"/>
      <c r="S232" s="545"/>
      <c r="W232" s="545"/>
      <c r="X232" s="545"/>
      <c r="Y232" s="545"/>
      <c r="Z232" s="545"/>
      <c r="AA232" s="545"/>
      <c r="AB232" s="545"/>
      <c r="AC232" s="545"/>
    </row>
    <row r="233" spans="1:29" ht="12.75" customHeight="1">
      <c r="A233" s="545"/>
      <c r="B233" s="545"/>
      <c r="C233" s="545"/>
      <c r="D233" s="545"/>
      <c r="E233" s="545"/>
      <c r="F233" s="545"/>
      <c r="H233" s="545"/>
      <c r="I233" s="545"/>
      <c r="J233" s="545"/>
      <c r="K233" s="545"/>
      <c r="L233" s="545"/>
      <c r="M233" s="545"/>
      <c r="N233" s="545"/>
      <c r="O233" s="545"/>
      <c r="P233" s="545"/>
      <c r="Q233" s="545"/>
      <c r="R233" s="545"/>
      <c r="S233" s="545"/>
      <c r="W233" s="545"/>
      <c r="X233" s="545"/>
      <c r="Y233" s="545"/>
      <c r="Z233" s="545"/>
      <c r="AA233" s="545"/>
      <c r="AB233" s="545"/>
      <c r="AC233" s="545"/>
    </row>
    <row r="234" spans="1:29" ht="12.75" customHeight="1">
      <c r="A234" s="545"/>
      <c r="B234" s="545"/>
      <c r="C234" s="545"/>
      <c r="D234" s="545"/>
      <c r="E234" s="545"/>
      <c r="F234" s="545"/>
      <c r="H234" s="545"/>
      <c r="I234" s="545"/>
      <c r="J234" s="545"/>
      <c r="K234" s="545"/>
      <c r="L234" s="545"/>
      <c r="M234" s="545"/>
      <c r="N234" s="545"/>
      <c r="O234" s="545"/>
      <c r="P234" s="545"/>
      <c r="Q234" s="545"/>
      <c r="R234" s="545"/>
      <c r="S234" s="545"/>
      <c r="W234" s="545"/>
      <c r="X234" s="545"/>
      <c r="Y234" s="545"/>
      <c r="Z234" s="545"/>
      <c r="AA234" s="545"/>
      <c r="AB234" s="545"/>
      <c r="AC234" s="545"/>
    </row>
    <row r="235" spans="1:29" ht="12.75" customHeight="1">
      <c r="A235" s="545"/>
      <c r="B235" s="545"/>
      <c r="C235" s="545"/>
      <c r="D235" s="545"/>
      <c r="E235" s="545"/>
      <c r="F235" s="545"/>
      <c r="H235" s="545"/>
      <c r="I235" s="545"/>
      <c r="J235" s="545"/>
      <c r="K235" s="545"/>
      <c r="L235" s="545"/>
      <c r="M235" s="545"/>
      <c r="N235" s="545"/>
      <c r="O235" s="545"/>
      <c r="P235" s="545"/>
      <c r="Q235" s="545"/>
      <c r="R235" s="545"/>
      <c r="S235" s="545"/>
      <c r="W235" s="545"/>
      <c r="X235" s="545"/>
      <c r="Y235" s="545"/>
      <c r="Z235" s="545"/>
      <c r="AA235" s="545"/>
      <c r="AB235" s="545"/>
      <c r="AC235" s="545"/>
    </row>
    <row r="236" spans="1:29" ht="12.75" customHeight="1">
      <c r="A236" s="545"/>
      <c r="B236" s="545"/>
      <c r="C236" s="545"/>
      <c r="D236" s="545"/>
      <c r="E236" s="545"/>
      <c r="F236" s="545"/>
      <c r="H236" s="545"/>
      <c r="I236" s="545"/>
      <c r="J236" s="545"/>
      <c r="K236" s="545"/>
      <c r="L236" s="545"/>
      <c r="M236" s="545"/>
      <c r="N236" s="545"/>
      <c r="O236" s="545"/>
      <c r="P236" s="545"/>
      <c r="Q236" s="545"/>
      <c r="R236" s="545"/>
      <c r="S236" s="545"/>
      <c r="W236" s="545"/>
      <c r="X236" s="545"/>
      <c r="Y236" s="545"/>
      <c r="Z236" s="545"/>
      <c r="AA236" s="545"/>
      <c r="AB236" s="545"/>
      <c r="AC236" s="545"/>
    </row>
    <row r="237" spans="1:29" ht="12.75" customHeight="1">
      <c r="A237" s="545"/>
      <c r="B237" s="545"/>
      <c r="C237" s="545"/>
      <c r="D237" s="545"/>
      <c r="E237" s="545"/>
      <c r="F237" s="545"/>
      <c r="H237" s="545"/>
      <c r="I237" s="545"/>
      <c r="J237" s="545"/>
      <c r="K237" s="545"/>
      <c r="L237" s="545"/>
      <c r="M237" s="545"/>
      <c r="N237" s="545"/>
      <c r="O237" s="545"/>
      <c r="P237" s="545"/>
      <c r="Q237" s="545"/>
      <c r="R237" s="545"/>
      <c r="S237" s="545"/>
      <c r="W237" s="545"/>
      <c r="X237" s="545"/>
      <c r="Y237" s="545"/>
      <c r="Z237" s="545"/>
      <c r="AA237" s="545"/>
      <c r="AB237" s="545"/>
      <c r="AC237" s="545"/>
    </row>
    <row r="238" spans="1:29" ht="12.75" customHeight="1">
      <c r="A238" s="545"/>
      <c r="B238" s="545"/>
      <c r="C238" s="545"/>
      <c r="D238" s="545"/>
      <c r="E238" s="545"/>
      <c r="F238" s="545"/>
      <c r="H238" s="545"/>
      <c r="I238" s="545"/>
      <c r="J238" s="545"/>
      <c r="K238" s="545"/>
      <c r="L238" s="545"/>
      <c r="M238" s="545"/>
      <c r="N238" s="545"/>
      <c r="O238" s="545"/>
      <c r="P238" s="545"/>
      <c r="Q238" s="545"/>
      <c r="R238" s="545"/>
      <c r="S238" s="545"/>
      <c r="W238" s="545"/>
      <c r="X238" s="545"/>
      <c r="Y238" s="545"/>
      <c r="Z238" s="545"/>
      <c r="AA238" s="545"/>
      <c r="AB238" s="545"/>
      <c r="AC238" s="545"/>
    </row>
    <row r="239" spans="1:29" ht="12.75" customHeight="1">
      <c r="A239" s="545"/>
      <c r="B239" s="545"/>
      <c r="C239" s="545"/>
      <c r="D239" s="545"/>
      <c r="E239" s="545"/>
      <c r="F239" s="545"/>
      <c r="H239" s="545"/>
      <c r="I239" s="545"/>
      <c r="J239" s="545"/>
      <c r="K239" s="545"/>
      <c r="L239" s="545"/>
      <c r="M239" s="545"/>
      <c r="N239" s="545"/>
      <c r="O239" s="545"/>
      <c r="P239" s="545"/>
      <c r="Q239" s="545"/>
      <c r="R239" s="545"/>
      <c r="S239" s="545"/>
      <c r="W239" s="545"/>
      <c r="X239" s="545"/>
      <c r="Y239" s="545"/>
      <c r="Z239" s="545"/>
      <c r="AA239" s="545"/>
      <c r="AB239" s="545"/>
      <c r="AC239" s="545"/>
    </row>
    <row r="240" spans="1:29" ht="12.75" customHeight="1">
      <c r="A240" s="545"/>
      <c r="B240" s="545"/>
      <c r="C240" s="545"/>
      <c r="D240" s="545"/>
      <c r="E240" s="545"/>
      <c r="F240" s="545"/>
      <c r="H240" s="545"/>
      <c r="I240" s="545"/>
      <c r="J240" s="545"/>
      <c r="K240" s="545"/>
      <c r="L240" s="545"/>
      <c r="M240" s="545"/>
      <c r="N240" s="545"/>
      <c r="O240" s="545"/>
      <c r="P240" s="545"/>
      <c r="Q240" s="545"/>
      <c r="R240" s="545"/>
      <c r="S240" s="545"/>
      <c r="W240" s="545"/>
      <c r="X240" s="545"/>
      <c r="Y240" s="545"/>
      <c r="Z240" s="545"/>
      <c r="AA240" s="545"/>
      <c r="AB240" s="545"/>
      <c r="AC240" s="545"/>
    </row>
    <row r="241" spans="1:29" ht="12.75" customHeight="1">
      <c r="A241" s="545"/>
      <c r="B241" s="545"/>
      <c r="C241" s="545"/>
      <c r="D241" s="545"/>
      <c r="E241" s="545"/>
      <c r="F241" s="545"/>
      <c r="H241" s="545"/>
      <c r="I241" s="545"/>
      <c r="J241" s="545"/>
      <c r="K241" s="545"/>
      <c r="L241" s="545"/>
      <c r="M241" s="545"/>
      <c r="N241" s="545"/>
      <c r="O241" s="545"/>
      <c r="P241" s="545"/>
      <c r="Q241" s="545"/>
      <c r="R241" s="545"/>
      <c r="S241" s="545"/>
      <c r="W241" s="545"/>
      <c r="X241" s="545"/>
      <c r="Y241" s="545"/>
      <c r="Z241" s="545"/>
      <c r="AA241" s="545"/>
      <c r="AB241" s="545"/>
      <c r="AC241" s="545"/>
    </row>
    <row r="242" spans="1:29" ht="12.75" customHeight="1">
      <c r="A242" s="545"/>
      <c r="B242" s="545"/>
      <c r="C242" s="545"/>
      <c r="D242" s="545"/>
      <c r="E242" s="545"/>
      <c r="F242" s="545"/>
      <c r="H242" s="545"/>
      <c r="I242" s="545"/>
      <c r="J242" s="545"/>
      <c r="K242" s="545"/>
      <c r="L242" s="545"/>
      <c r="M242" s="545"/>
      <c r="N242" s="545"/>
      <c r="O242" s="545"/>
      <c r="P242" s="545"/>
      <c r="Q242" s="545"/>
      <c r="R242" s="545"/>
      <c r="S242" s="545"/>
      <c r="W242" s="545"/>
      <c r="X242" s="545"/>
      <c r="Y242" s="545"/>
      <c r="Z242" s="545"/>
      <c r="AA242" s="545"/>
      <c r="AB242" s="545"/>
      <c r="AC242" s="545"/>
    </row>
    <row r="243" spans="1:29" ht="12.75" customHeight="1">
      <c r="A243" s="545"/>
      <c r="B243" s="545"/>
      <c r="C243" s="545"/>
      <c r="D243" s="545"/>
      <c r="E243" s="545"/>
      <c r="F243" s="545"/>
      <c r="H243" s="545"/>
      <c r="I243" s="545"/>
      <c r="J243" s="545"/>
      <c r="K243" s="545"/>
      <c r="L243" s="545"/>
      <c r="M243" s="545"/>
      <c r="N243" s="545"/>
      <c r="O243" s="545"/>
      <c r="P243" s="545"/>
      <c r="Q243" s="545"/>
      <c r="R243" s="545"/>
      <c r="S243" s="545"/>
      <c r="W243" s="545"/>
      <c r="X243" s="545"/>
      <c r="Y243" s="545"/>
      <c r="Z243" s="545"/>
      <c r="AA243" s="545"/>
      <c r="AB243" s="545"/>
      <c r="AC243" s="545"/>
    </row>
    <row r="244" spans="1:29" ht="12.75" customHeight="1">
      <c r="A244" s="545"/>
      <c r="B244" s="545"/>
      <c r="C244" s="545"/>
      <c r="D244" s="545"/>
      <c r="E244" s="545"/>
      <c r="F244" s="545"/>
      <c r="H244" s="545"/>
      <c r="I244" s="545"/>
      <c r="J244" s="545"/>
      <c r="K244" s="545"/>
      <c r="L244" s="545"/>
      <c r="M244" s="545"/>
      <c r="N244" s="545"/>
      <c r="O244" s="545"/>
      <c r="P244" s="545"/>
      <c r="Q244" s="545"/>
      <c r="R244" s="545"/>
      <c r="S244" s="545"/>
      <c r="W244" s="545"/>
      <c r="X244" s="545"/>
      <c r="Y244" s="545"/>
      <c r="Z244" s="545"/>
      <c r="AA244" s="545"/>
      <c r="AB244" s="545"/>
      <c r="AC244" s="545"/>
    </row>
    <row r="245" spans="1:29" ht="12.75" customHeight="1">
      <c r="A245" s="545"/>
      <c r="B245" s="545"/>
      <c r="C245" s="545"/>
      <c r="D245" s="545"/>
      <c r="E245" s="545"/>
      <c r="F245" s="545"/>
      <c r="H245" s="545"/>
      <c r="I245" s="545"/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W245" s="545"/>
      <c r="X245" s="545"/>
      <c r="Y245" s="545"/>
      <c r="Z245" s="545"/>
      <c r="AA245" s="545"/>
      <c r="AB245" s="545"/>
      <c r="AC245" s="545"/>
    </row>
    <row r="246" spans="1:29" ht="12.75" customHeight="1">
      <c r="A246" s="545"/>
      <c r="B246" s="545"/>
      <c r="C246" s="545"/>
      <c r="D246" s="545"/>
      <c r="E246" s="545"/>
      <c r="F246" s="545"/>
      <c r="H246" s="545"/>
      <c r="I246" s="545"/>
      <c r="J246" s="545"/>
      <c r="K246" s="545"/>
      <c r="L246" s="545"/>
      <c r="M246" s="545"/>
      <c r="N246" s="545"/>
      <c r="O246" s="545"/>
      <c r="P246" s="545"/>
      <c r="Q246" s="545"/>
      <c r="R246" s="545"/>
      <c r="S246" s="545"/>
      <c r="W246" s="545"/>
      <c r="X246" s="545"/>
      <c r="Y246" s="545"/>
      <c r="Z246" s="545"/>
      <c r="AA246" s="545"/>
      <c r="AB246" s="545"/>
      <c r="AC246" s="545"/>
    </row>
    <row r="247" spans="1:29" ht="12.75" customHeight="1">
      <c r="A247" s="545"/>
      <c r="B247" s="545"/>
      <c r="C247" s="545"/>
      <c r="D247" s="545"/>
      <c r="E247" s="545"/>
      <c r="F247" s="545"/>
      <c r="H247" s="545"/>
      <c r="I247" s="545"/>
      <c r="J247" s="545"/>
      <c r="K247" s="545"/>
      <c r="L247" s="545"/>
      <c r="M247" s="545"/>
      <c r="N247" s="545"/>
      <c r="O247" s="545"/>
      <c r="P247" s="545"/>
      <c r="Q247" s="545"/>
      <c r="R247" s="545"/>
      <c r="S247" s="545"/>
      <c r="W247" s="545"/>
      <c r="X247" s="545"/>
      <c r="Y247" s="545"/>
      <c r="Z247" s="545"/>
      <c r="AA247" s="545"/>
      <c r="AB247" s="545"/>
      <c r="AC247" s="545"/>
    </row>
    <row r="248" spans="1:29" ht="12.75" customHeight="1">
      <c r="A248" s="545"/>
      <c r="B248" s="545"/>
      <c r="C248" s="545"/>
      <c r="D248" s="545"/>
      <c r="E248" s="545"/>
      <c r="F248" s="545"/>
      <c r="H248" s="545"/>
      <c r="I248" s="545"/>
      <c r="J248" s="545"/>
      <c r="K248" s="545"/>
      <c r="L248" s="545"/>
      <c r="M248" s="545"/>
      <c r="N248" s="545"/>
      <c r="O248" s="545"/>
      <c r="P248" s="545"/>
      <c r="Q248" s="545"/>
      <c r="R248" s="545"/>
      <c r="S248" s="545"/>
      <c r="W248" s="545"/>
      <c r="X248" s="545"/>
      <c r="Y248" s="545"/>
      <c r="Z248" s="545"/>
      <c r="AA248" s="545"/>
      <c r="AB248" s="545"/>
      <c r="AC248" s="545"/>
    </row>
    <row r="249" spans="1:29" ht="12.75" customHeight="1">
      <c r="A249" s="545"/>
      <c r="B249" s="545"/>
      <c r="C249" s="545"/>
      <c r="D249" s="545"/>
      <c r="E249" s="545"/>
      <c r="F249" s="545"/>
      <c r="H249" s="545"/>
      <c r="I249" s="545"/>
      <c r="J249" s="545"/>
      <c r="K249" s="545"/>
      <c r="L249" s="545"/>
      <c r="M249" s="545"/>
      <c r="N249" s="545"/>
      <c r="O249" s="545"/>
      <c r="P249" s="545"/>
      <c r="Q249" s="545"/>
      <c r="R249" s="545"/>
      <c r="S249" s="545"/>
      <c r="W249" s="545"/>
      <c r="X249" s="545"/>
      <c r="Y249" s="545"/>
      <c r="Z249" s="545"/>
      <c r="AA249" s="545"/>
      <c r="AB249" s="545"/>
      <c r="AC249" s="545"/>
    </row>
    <row r="250" spans="1:29" ht="12.75" customHeight="1">
      <c r="A250" s="545"/>
      <c r="B250" s="545"/>
      <c r="C250" s="545"/>
      <c r="D250" s="545"/>
      <c r="E250" s="545"/>
      <c r="F250" s="545"/>
      <c r="H250" s="545"/>
      <c r="I250" s="545"/>
      <c r="J250" s="545"/>
      <c r="K250" s="545"/>
      <c r="L250" s="545"/>
      <c r="M250" s="545"/>
      <c r="N250" s="545"/>
      <c r="O250" s="545"/>
      <c r="P250" s="545"/>
      <c r="Q250" s="545"/>
      <c r="R250" s="545"/>
      <c r="S250" s="545"/>
      <c r="W250" s="545"/>
      <c r="X250" s="545"/>
      <c r="Y250" s="545"/>
      <c r="Z250" s="545"/>
      <c r="AA250" s="545"/>
      <c r="AB250" s="545"/>
      <c r="AC250" s="545"/>
    </row>
    <row r="251" spans="1:29" ht="12.75" customHeight="1">
      <c r="A251" s="545"/>
      <c r="B251" s="545"/>
      <c r="C251" s="545"/>
      <c r="D251" s="545"/>
      <c r="E251" s="545"/>
      <c r="F251" s="545"/>
      <c r="H251" s="545"/>
      <c r="I251" s="545"/>
      <c r="J251" s="545"/>
      <c r="K251" s="545"/>
      <c r="L251" s="545"/>
      <c r="M251" s="545"/>
      <c r="N251" s="545"/>
      <c r="O251" s="545"/>
      <c r="P251" s="545"/>
      <c r="Q251" s="545"/>
      <c r="R251" s="545"/>
      <c r="S251" s="545"/>
      <c r="W251" s="545"/>
      <c r="X251" s="545"/>
      <c r="Y251" s="545"/>
      <c r="Z251" s="545"/>
      <c r="AA251" s="545"/>
      <c r="AB251" s="545"/>
      <c r="AC251" s="545"/>
    </row>
    <row r="252" spans="1:29" ht="12.75" customHeight="1">
      <c r="A252" s="545"/>
      <c r="B252" s="545"/>
      <c r="C252" s="545"/>
      <c r="D252" s="545"/>
      <c r="E252" s="545"/>
      <c r="F252" s="545"/>
      <c r="H252" s="545"/>
      <c r="I252" s="545"/>
      <c r="J252" s="545"/>
      <c r="K252" s="545"/>
      <c r="L252" s="545"/>
      <c r="M252" s="545"/>
      <c r="N252" s="545"/>
      <c r="O252" s="545"/>
      <c r="P252" s="545"/>
      <c r="Q252" s="545"/>
      <c r="R252" s="545"/>
      <c r="S252" s="545"/>
      <c r="W252" s="545"/>
      <c r="X252" s="545"/>
      <c r="Y252" s="545"/>
      <c r="Z252" s="545"/>
      <c r="AA252" s="545"/>
      <c r="AB252" s="545"/>
      <c r="AC252" s="545"/>
    </row>
    <row r="253" spans="1:29" ht="12.75" customHeight="1">
      <c r="A253" s="545"/>
      <c r="B253" s="545"/>
      <c r="C253" s="545"/>
      <c r="D253" s="545"/>
      <c r="E253" s="545"/>
      <c r="F253" s="545"/>
      <c r="H253" s="545"/>
      <c r="I253" s="545"/>
      <c r="J253" s="545"/>
      <c r="K253" s="545"/>
      <c r="L253" s="545"/>
      <c r="M253" s="545"/>
      <c r="N253" s="545"/>
      <c r="O253" s="545"/>
      <c r="P253" s="545"/>
      <c r="Q253" s="545"/>
      <c r="R253" s="545"/>
      <c r="S253" s="545"/>
      <c r="W253" s="545"/>
      <c r="X253" s="545"/>
      <c r="Y253" s="545"/>
      <c r="Z253" s="545"/>
      <c r="AA253" s="545"/>
      <c r="AB253" s="545"/>
      <c r="AC253" s="545"/>
    </row>
    <row r="254" spans="1:29" ht="12.75" customHeight="1">
      <c r="A254" s="545"/>
      <c r="B254" s="545"/>
      <c r="C254" s="545"/>
      <c r="D254" s="545"/>
      <c r="E254" s="545"/>
      <c r="F254" s="545"/>
      <c r="H254" s="545"/>
      <c r="I254" s="545"/>
      <c r="J254" s="545"/>
      <c r="K254" s="545"/>
      <c r="L254" s="545"/>
      <c r="M254" s="545"/>
      <c r="N254" s="545"/>
      <c r="O254" s="545"/>
      <c r="P254" s="545"/>
      <c r="Q254" s="545"/>
      <c r="R254" s="545"/>
      <c r="S254" s="545"/>
      <c r="W254" s="545"/>
      <c r="X254" s="545"/>
      <c r="Y254" s="545"/>
      <c r="Z254" s="545"/>
      <c r="AA254" s="545"/>
      <c r="AB254" s="545"/>
      <c r="AC254" s="545"/>
    </row>
    <row r="255" spans="1:29" ht="12.75" customHeight="1">
      <c r="A255" s="545"/>
      <c r="B255" s="545"/>
      <c r="C255" s="545"/>
      <c r="D255" s="545"/>
      <c r="E255" s="545"/>
      <c r="F255" s="545"/>
      <c r="H255" s="545"/>
      <c r="I255" s="545"/>
      <c r="J255" s="545"/>
      <c r="K255" s="545"/>
      <c r="L255" s="545"/>
      <c r="M255" s="545"/>
      <c r="N255" s="545"/>
      <c r="O255" s="545"/>
      <c r="P255" s="545"/>
      <c r="Q255" s="545"/>
      <c r="R255" s="545"/>
      <c r="S255" s="545"/>
      <c r="W255" s="545"/>
      <c r="X255" s="545"/>
      <c r="Y255" s="545"/>
      <c r="Z255" s="545"/>
      <c r="AA255" s="545"/>
      <c r="AB255" s="545"/>
      <c r="AC255" s="545"/>
    </row>
    <row r="256" spans="1:29" ht="12.75" customHeight="1">
      <c r="A256" s="545"/>
      <c r="B256" s="545"/>
      <c r="C256" s="545"/>
      <c r="D256" s="545"/>
      <c r="E256" s="545"/>
      <c r="F256" s="545"/>
      <c r="H256" s="545"/>
      <c r="I256" s="545"/>
      <c r="J256" s="545"/>
      <c r="K256" s="545"/>
      <c r="L256" s="545"/>
      <c r="M256" s="545"/>
      <c r="N256" s="545"/>
      <c r="O256" s="545"/>
      <c r="P256" s="545"/>
      <c r="Q256" s="545"/>
      <c r="R256" s="545"/>
      <c r="S256" s="545"/>
      <c r="W256" s="545"/>
      <c r="X256" s="545"/>
      <c r="Y256" s="545"/>
      <c r="Z256" s="545"/>
      <c r="AA256" s="545"/>
      <c r="AB256" s="545"/>
      <c r="AC256" s="545"/>
    </row>
    <row r="257" spans="1:29" ht="12.75" customHeight="1">
      <c r="A257" s="545"/>
      <c r="B257" s="545"/>
      <c r="C257" s="545"/>
      <c r="D257" s="545"/>
      <c r="E257" s="545"/>
      <c r="F257" s="545"/>
      <c r="H257" s="545"/>
      <c r="I257" s="545"/>
      <c r="J257" s="545"/>
      <c r="K257" s="545"/>
      <c r="L257" s="545"/>
      <c r="M257" s="545"/>
      <c r="N257" s="545"/>
      <c r="O257" s="545"/>
      <c r="P257" s="545"/>
      <c r="Q257" s="545"/>
      <c r="R257" s="545"/>
      <c r="S257" s="545"/>
      <c r="W257" s="545"/>
      <c r="X257" s="545"/>
      <c r="Y257" s="545"/>
      <c r="Z257" s="545"/>
      <c r="AA257" s="545"/>
      <c r="AB257" s="545"/>
      <c r="AC257" s="545"/>
    </row>
    <row r="258" spans="1:29" ht="12.75" customHeight="1">
      <c r="A258" s="545"/>
      <c r="B258" s="545"/>
      <c r="C258" s="545"/>
      <c r="D258" s="545"/>
      <c r="E258" s="545"/>
      <c r="F258" s="545"/>
      <c r="H258" s="545"/>
      <c r="I258" s="545"/>
      <c r="J258" s="545"/>
      <c r="K258" s="545"/>
      <c r="L258" s="545"/>
      <c r="M258" s="545"/>
      <c r="N258" s="545"/>
      <c r="O258" s="545"/>
      <c r="P258" s="545"/>
      <c r="Q258" s="545"/>
      <c r="R258" s="545"/>
      <c r="S258" s="545"/>
      <c r="W258" s="545"/>
      <c r="X258" s="545"/>
      <c r="Y258" s="545"/>
      <c r="Z258" s="545"/>
      <c r="AA258" s="545"/>
      <c r="AB258" s="545"/>
      <c r="AC258" s="545"/>
    </row>
    <row r="259" spans="1:29" ht="12.75" customHeight="1">
      <c r="A259" s="545"/>
      <c r="B259" s="545"/>
      <c r="C259" s="545"/>
      <c r="D259" s="545"/>
      <c r="E259" s="545"/>
      <c r="F259" s="545"/>
      <c r="H259" s="545"/>
      <c r="I259" s="545"/>
      <c r="J259" s="545"/>
      <c r="K259" s="545"/>
      <c r="L259" s="545"/>
      <c r="M259" s="545"/>
      <c r="N259" s="545"/>
      <c r="O259" s="545"/>
      <c r="P259" s="545"/>
      <c r="Q259" s="545"/>
      <c r="R259" s="545"/>
      <c r="S259" s="545"/>
      <c r="W259" s="545"/>
      <c r="X259" s="545"/>
      <c r="Y259" s="545"/>
      <c r="Z259" s="545"/>
      <c r="AA259" s="545"/>
      <c r="AB259" s="545"/>
      <c r="AC259" s="545"/>
    </row>
    <row r="260" spans="1:29" ht="12.75" customHeight="1">
      <c r="A260" s="545"/>
      <c r="B260" s="545"/>
      <c r="C260" s="545"/>
      <c r="D260" s="545"/>
      <c r="E260" s="545"/>
      <c r="F260" s="545"/>
      <c r="H260" s="545"/>
      <c r="I260" s="545"/>
      <c r="J260" s="545"/>
      <c r="K260" s="545"/>
      <c r="L260" s="545"/>
      <c r="M260" s="545"/>
      <c r="N260" s="545"/>
      <c r="O260" s="545"/>
      <c r="P260" s="545"/>
      <c r="Q260" s="545"/>
      <c r="R260" s="545"/>
      <c r="S260" s="545"/>
      <c r="W260" s="545"/>
      <c r="X260" s="545"/>
      <c r="Y260" s="545"/>
      <c r="Z260" s="545"/>
      <c r="AA260" s="545"/>
      <c r="AB260" s="545"/>
      <c r="AC260" s="545"/>
    </row>
    <row r="261" spans="1:29" ht="12.75" customHeight="1">
      <c r="A261" s="545"/>
      <c r="B261" s="545"/>
      <c r="C261" s="545"/>
      <c r="D261" s="545"/>
      <c r="E261" s="545"/>
      <c r="F261" s="545"/>
      <c r="H261" s="545"/>
      <c r="I261" s="545"/>
      <c r="J261" s="545"/>
      <c r="K261" s="545"/>
      <c r="L261" s="545"/>
      <c r="M261" s="545"/>
      <c r="N261" s="545"/>
      <c r="O261" s="545"/>
      <c r="P261" s="545"/>
      <c r="Q261" s="545"/>
      <c r="R261" s="545"/>
      <c r="S261" s="545"/>
      <c r="W261" s="545"/>
      <c r="X261" s="545"/>
      <c r="Y261" s="545"/>
      <c r="Z261" s="545"/>
      <c r="AA261" s="545"/>
      <c r="AB261" s="545"/>
      <c r="AC261" s="545"/>
    </row>
    <row r="262" spans="1:29" ht="12.75" customHeight="1">
      <c r="A262" s="545"/>
      <c r="B262" s="545"/>
      <c r="C262" s="545"/>
      <c r="D262" s="545"/>
      <c r="E262" s="545"/>
      <c r="F262" s="545"/>
      <c r="H262" s="545"/>
      <c r="I262" s="545"/>
      <c r="J262" s="545"/>
      <c r="K262" s="545"/>
      <c r="L262" s="545"/>
      <c r="M262" s="545"/>
      <c r="N262" s="545"/>
      <c r="O262" s="545"/>
      <c r="P262" s="545"/>
      <c r="Q262" s="545"/>
      <c r="R262" s="545"/>
      <c r="S262" s="545"/>
      <c r="W262" s="545"/>
      <c r="X262" s="545"/>
      <c r="Y262" s="545"/>
      <c r="Z262" s="545"/>
      <c r="AA262" s="545"/>
      <c r="AB262" s="545"/>
      <c r="AC262" s="545"/>
    </row>
    <row r="263" spans="1:29" ht="12.75" customHeight="1">
      <c r="A263" s="545"/>
      <c r="B263" s="545"/>
      <c r="C263" s="545"/>
      <c r="D263" s="545"/>
      <c r="E263" s="545"/>
      <c r="F263" s="545"/>
      <c r="H263" s="545"/>
      <c r="I263" s="545"/>
      <c r="J263" s="545"/>
      <c r="K263" s="545"/>
      <c r="L263" s="545"/>
      <c r="M263" s="545"/>
      <c r="N263" s="545"/>
      <c r="O263" s="545"/>
      <c r="P263" s="545"/>
      <c r="Q263" s="545"/>
      <c r="R263" s="545"/>
      <c r="S263" s="545"/>
      <c r="W263" s="545"/>
      <c r="X263" s="545"/>
      <c r="Y263" s="545"/>
      <c r="Z263" s="545"/>
      <c r="AA263" s="545"/>
      <c r="AB263" s="545"/>
      <c r="AC263" s="545"/>
    </row>
    <row r="264" spans="1:29" ht="12.75" customHeight="1">
      <c r="A264" s="545"/>
      <c r="B264" s="545"/>
      <c r="C264" s="545"/>
      <c r="D264" s="545"/>
      <c r="E264" s="545"/>
      <c r="F264" s="545"/>
      <c r="H264" s="545"/>
      <c r="I264" s="545"/>
      <c r="J264" s="545"/>
      <c r="K264" s="545"/>
      <c r="L264" s="545"/>
      <c r="M264" s="545"/>
      <c r="N264" s="545"/>
      <c r="O264" s="545"/>
      <c r="P264" s="545"/>
      <c r="Q264" s="545"/>
      <c r="R264" s="545"/>
      <c r="S264" s="545"/>
      <c r="W264" s="545"/>
      <c r="X264" s="545"/>
      <c r="Y264" s="545"/>
      <c r="Z264" s="545"/>
      <c r="AA264" s="545"/>
      <c r="AB264" s="545"/>
      <c r="AC264" s="545"/>
    </row>
    <row r="265" spans="1:29" ht="12.75" customHeight="1">
      <c r="A265" s="545"/>
      <c r="B265" s="545"/>
      <c r="C265" s="545"/>
      <c r="D265" s="545"/>
      <c r="E265" s="545"/>
      <c r="F265" s="545"/>
      <c r="H265" s="545"/>
      <c r="I265" s="545"/>
      <c r="J265" s="545"/>
      <c r="K265" s="545"/>
      <c r="L265" s="545"/>
      <c r="M265" s="545"/>
      <c r="N265" s="545"/>
      <c r="O265" s="545"/>
      <c r="P265" s="545"/>
      <c r="Q265" s="545"/>
      <c r="R265" s="545"/>
      <c r="S265" s="545"/>
      <c r="W265" s="545"/>
      <c r="X265" s="545"/>
      <c r="Y265" s="545"/>
      <c r="Z265" s="545"/>
      <c r="AA265" s="545"/>
      <c r="AB265" s="545"/>
      <c r="AC265" s="545"/>
    </row>
    <row r="266" spans="1:29" ht="12.75" customHeight="1">
      <c r="A266" s="545"/>
      <c r="B266" s="545"/>
      <c r="C266" s="545"/>
      <c r="D266" s="545"/>
      <c r="E266" s="545"/>
      <c r="F266" s="545"/>
      <c r="H266" s="545"/>
      <c r="I266" s="545"/>
      <c r="J266" s="545"/>
      <c r="K266" s="545"/>
      <c r="L266" s="545"/>
      <c r="M266" s="545"/>
      <c r="N266" s="545"/>
      <c r="O266" s="545"/>
      <c r="P266" s="545"/>
      <c r="Q266" s="545"/>
      <c r="R266" s="545"/>
      <c r="S266" s="545"/>
      <c r="W266" s="545"/>
      <c r="X266" s="545"/>
      <c r="Y266" s="545"/>
      <c r="Z266" s="545"/>
      <c r="AA266" s="545"/>
      <c r="AB266" s="545"/>
      <c r="AC266" s="545"/>
    </row>
    <row r="267" spans="1:29" ht="12.75" customHeight="1">
      <c r="A267" s="545"/>
      <c r="B267" s="545"/>
      <c r="C267" s="545"/>
      <c r="D267" s="545"/>
      <c r="E267" s="545"/>
      <c r="F267" s="545"/>
      <c r="H267" s="545"/>
      <c r="I267" s="545"/>
      <c r="J267" s="545"/>
      <c r="K267" s="545"/>
      <c r="L267" s="545"/>
      <c r="M267" s="545"/>
      <c r="N267" s="545"/>
      <c r="O267" s="545"/>
      <c r="P267" s="545"/>
      <c r="Q267" s="545"/>
      <c r="R267" s="545"/>
      <c r="S267" s="545"/>
      <c r="W267" s="545"/>
      <c r="X267" s="545"/>
      <c r="Y267" s="545"/>
      <c r="Z267" s="545"/>
      <c r="AA267" s="545"/>
      <c r="AB267" s="545"/>
      <c r="AC267" s="545"/>
    </row>
    <row r="268" spans="1:29" ht="12.75" customHeight="1">
      <c r="A268" s="545"/>
      <c r="B268" s="545"/>
      <c r="C268" s="545"/>
      <c r="D268" s="545"/>
      <c r="E268" s="545"/>
      <c r="F268" s="545"/>
      <c r="H268" s="545"/>
      <c r="I268" s="545"/>
      <c r="J268" s="545"/>
      <c r="K268" s="545"/>
      <c r="L268" s="545"/>
      <c r="M268" s="545"/>
      <c r="N268" s="545"/>
      <c r="O268" s="545"/>
      <c r="P268" s="545"/>
      <c r="Q268" s="545"/>
      <c r="R268" s="545"/>
      <c r="S268" s="545"/>
      <c r="W268" s="545"/>
      <c r="X268" s="545"/>
      <c r="Y268" s="545"/>
      <c r="Z268" s="545"/>
      <c r="AA268" s="545"/>
      <c r="AB268" s="545"/>
      <c r="AC268" s="545"/>
    </row>
    <row r="269" spans="1:29" ht="12.75" customHeight="1">
      <c r="A269" s="545"/>
      <c r="B269" s="545"/>
      <c r="C269" s="545"/>
      <c r="D269" s="545"/>
      <c r="E269" s="545"/>
      <c r="F269" s="545"/>
      <c r="H269" s="545"/>
      <c r="I269" s="545"/>
      <c r="J269" s="545"/>
      <c r="K269" s="545"/>
      <c r="L269" s="545"/>
      <c r="M269" s="545"/>
      <c r="N269" s="545"/>
      <c r="O269" s="545"/>
      <c r="P269" s="545"/>
      <c r="Q269" s="545"/>
      <c r="R269" s="545"/>
      <c r="S269" s="545"/>
      <c r="W269" s="545"/>
      <c r="X269" s="545"/>
      <c r="Y269" s="545"/>
      <c r="Z269" s="545"/>
      <c r="AA269" s="545"/>
      <c r="AB269" s="545"/>
      <c r="AC269" s="545"/>
    </row>
    <row r="270" spans="1:29" ht="12.75" customHeight="1">
      <c r="A270" s="545"/>
      <c r="B270" s="545"/>
      <c r="C270" s="545"/>
      <c r="D270" s="545"/>
      <c r="E270" s="545"/>
      <c r="F270" s="545"/>
      <c r="H270" s="545"/>
      <c r="I270" s="545"/>
      <c r="J270" s="545"/>
      <c r="K270" s="545"/>
      <c r="L270" s="545"/>
      <c r="M270" s="545"/>
      <c r="N270" s="545"/>
      <c r="O270" s="545"/>
      <c r="P270" s="545"/>
      <c r="Q270" s="545"/>
      <c r="R270" s="545"/>
      <c r="S270" s="545"/>
      <c r="W270" s="545"/>
      <c r="X270" s="545"/>
      <c r="Y270" s="545"/>
      <c r="Z270" s="545"/>
      <c r="AA270" s="545"/>
      <c r="AB270" s="545"/>
      <c r="AC270" s="545"/>
    </row>
    <row r="271" spans="1:29" ht="12.75" customHeight="1">
      <c r="A271" s="545"/>
      <c r="B271" s="545"/>
      <c r="C271" s="545"/>
      <c r="D271" s="545"/>
      <c r="E271" s="545"/>
      <c r="F271" s="545"/>
      <c r="H271" s="545"/>
      <c r="I271" s="545"/>
      <c r="J271" s="545"/>
      <c r="K271" s="545"/>
      <c r="L271" s="545"/>
      <c r="M271" s="545"/>
      <c r="N271" s="545"/>
      <c r="O271" s="545"/>
      <c r="P271" s="545"/>
      <c r="Q271" s="545"/>
      <c r="R271" s="545"/>
      <c r="S271" s="545"/>
      <c r="W271" s="545"/>
      <c r="X271" s="545"/>
      <c r="Y271" s="545"/>
      <c r="Z271" s="545"/>
      <c r="AA271" s="545"/>
      <c r="AB271" s="545"/>
      <c r="AC271" s="545"/>
    </row>
    <row r="272" spans="1:29" ht="12.75" customHeight="1">
      <c r="A272" s="545"/>
      <c r="B272" s="545"/>
      <c r="C272" s="545"/>
      <c r="D272" s="545"/>
      <c r="E272" s="545"/>
      <c r="F272" s="545"/>
      <c r="H272" s="545"/>
      <c r="I272" s="545"/>
      <c r="J272" s="545"/>
      <c r="K272" s="545"/>
      <c r="L272" s="545"/>
      <c r="M272" s="545"/>
      <c r="N272" s="545"/>
      <c r="O272" s="545"/>
      <c r="P272" s="545"/>
      <c r="Q272" s="545"/>
      <c r="R272" s="545"/>
      <c r="S272" s="545"/>
      <c r="W272" s="545"/>
      <c r="X272" s="545"/>
      <c r="Y272" s="545"/>
      <c r="Z272" s="545"/>
      <c r="AA272" s="545"/>
      <c r="AB272" s="545"/>
      <c r="AC272" s="545"/>
    </row>
    <row r="273" spans="1:29" ht="12.75" customHeight="1">
      <c r="A273" s="545"/>
      <c r="B273" s="545"/>
      <c r="C273" s="545"/>
      <c r="D273" s="545"/>
      <c r="E273" s="545"/>
      <c r="F273" s="545"/>
      <c r="H273" s="545"/>
      <c r="I273" s="545"/>
      <c r="J273" s="545"/>
      <c r="K273" s="545"/>
      <c r="L273" s="545"/>
      <c r="M273" s="545"/>
      <c r="N273" s="545"/>
      <c r="O273" s="545"/>
      <c r="P273" s="545"/>
      <c r="Q273" s="545"/>
      <c r="R273" s="545"/>
      <c r="S273" s="545"/>
      <c r="W273" s="545"/>
      <c r="X273" s="545"/>
      <c r="Y273" s="545"/>
      <c r="Z273" s="545"/>
      <c r="AA273" s="545"/>
      <c r="AB273" s="545"/>
      <c r="AC273" s="545"/>
    </row>
    <row r="274" spans="1:29" ht="12.75" customHeight="1">
      <c r="A274" s="545"/>
      <c r="B274" s="545"/>
      <c r="C274" s="545"/>
      <c r="D274" s="545"/>
      <c r="E274" s="545"/>
      <c r="F274" s="545"/>
      <c r="H274" s="545"/>
      <c r="I274" s="545"/>
      <c r="J274" s="545"/>
      <c r="K274" s="545"/>
      <c r="L274" s="545"/>
      <c r="M274" s="545"/>
      <c r="N274" s="545"/>
      <c r="O274" s="545"/>
      <c r="P274" s="545"/>
      <c r="Q274" s="545"/>
      <c r="R274" s="545"/>
      <c r="S274" s="545"/>
      <c r="W274" s="545"/>
      <c r="X274" s="545"/>
      <c r="Y274" s="545"/>
      <c r="Z274" s="545"/>
      <c r="AA274" s="545"/>
      <c r="AB274" s="545"/>
      <c r="AC274" s="545"/>
    </row>
    <row r="275" spans="1:29" ht="12.75" customHeight="1">
      <c r="A275" s="545"/>
      <c r="B275" s="545"/>
      <c r="C275" s="545"/>
      <c r="D275" s="545"/>
      <c r="E275" s="545"/>
      <c r="F275" s="545"/>
      <c r="H275" s="545"/>
      <c r="I275" s="545"/>
      <c r="J275" s="545"/>
      <c r="K275" s="545"/>
      <c r="L275" s="545"/>
      <c r="M275" s="545"/>
      <c r="N275" s="545"/>
      <c r="O275" s="545"/>
      <c r="P275" s="545"/>
      <c r="Q275" s="545"/>
      <c r="R275" s="545"/>
      <c r="S275" s="545"/>
      <c r="W275" s="545"/>
      <c r="X275" s="545"/>
      <c r="Y275" s="545"/>
      <c r="Z275" s="545"/>
      <c r="AA275" s="545"/>
      <c r="AB275" s="545"/>
      <c r="AC275" s="545"/>
    </row>
    <row r="276" spans="1:29" ht="12.75" customHeight="1">
      <c r="A276" s="545"/>
      <c r="B276" s="545"/>
      <c r="C276" s="545"/>
      <c r="D276" s="545"/>
      <c r="E276" s="545"/>
      <c r="F276" s="545"/>
      <c r="H276" s="545"/>
      <c r="I276" s="545"/>
      <c r="J276" s="545"/>
      <c r="K276" s="545"/>
      <c r="L276" s="545"/>
      <c r="M276" s="545"/>
      <c r="N276" s="545"/>
      <c r="O276" s="545"/>
      <c r="P276" s="545"/>
      <c r="Q276" s="545"/>
      <c r="R276" s="545"/>
      <c r="S276" s="545"/>
      <c r="W276" s="545"/>
      <c r="X276" s="545"/>
      <c r="Y276" s="545"/>
      <c r="Z276" s="545"/>
      <c r="AA276" s="545"/>
      <c r="AB276" s="545"/>
      <c r="AC276" s="545"/>
    </row>
    <row r="277" spans="1:29" ht="12.75" customHeight="1">
      <c r="A277" s="545"/>
      <c r="B277" s="545"/>
      <c r="C277" s="545"/>
      <c r="D277" s="545"/>
      <c r="E277" s="545"/>
      <c r="F277" s="545"/>
      <c r="H277" s="545"/>
      <c r="I277" s="545"/>
      <c r="J277" s="545"/>
      <c r="K277" s="545"/>
      <c r="L277" s="545"/>
      <c r="M277" s="545"/>
      <c r="N277" s="545"/>
      <c r="O277" s="545"/>
      <c r="P277" s="545"/>
      <c r="Q277" s="545"/>
      <c r="R277" s="545"/>
      <c r="S277" s="545"/>
      <c r="W277" s="545"/>
      <c r="X277" s="545"/>
      <c r="Y277" s="545"/>
      <c r="Z277" s="545"/>
      <c r="AA277" s="545"/>
      <c r="AB277" s="545"/>
      <c r="AC277" s="545"/>
    </row>
    <row r="278" spans="1:29" ht="12.75" customHeight="1">
      <c r="A278" s="545"/>
      <c r="B278" s="545"/>
      <c r="C278" s="545"/>
      <c r="D278" s="545"/>
      <c r="E278" s="545"/>
      <c r="F278" s="545"/>
      <c r="H278" s="545"/>
      <c r="I278" s="545"/>
      <c r="J278" s="545"/>
      <c r="K278" s="545"/>
      <c r="L278" s="545"/>
      <c r="M278" s="545"/>
      <c r="N278" s="545"/>
      <c r="O278" s="545"/>
      <c r="P278" s="545"/>
      <c r="Q278" s="545"/>
      <c r="R278" s="545"/>
      <c r="S278" s="545"/>
      <c r="W278" s="545"/>
      <c r="X278" s="545"/>
      <c r="Y278" s="545"/>
      <c r="Z278" s="545"/>
      <c r="AA278" s="545"/>
      <c r="AB278" s="545"/>
      <c r="AC278" s="545"/>
    </row>
    <row r="279" spans="1:29" ht="12.75" customHeight="1">
      <c r="A279" s="545"/>
      <c r="B279" s="545"/>
      <c r="C279" s="545"/>
      <c r="D279" s="545"/>
      <c r="E279" s="545"/>
      <c r="F279" s="545"/>
      <c r="H279" s="545"/>
      <c r="I279" s="545"/>
      <c r="J279" s="545"/>
      <c r="K279" s="545"/>
      <c r="L279" s="545"/>
      <c r="M279" s="545"/>
      <c r="N279" s="545"/>
      <c r="O279" s="545"/>
      <c r="P279" s="545"/>
      <c r="Q279" s="545"/>
      <c r="R279" s="545"/>
      <c r="S279" s="545"/>
      <c r="W279" s="545"/>
      <c r="X279" s="545"/>
      <c r="Y279" s="545"/>
      <c r="Z279" s="545"/>
      <c r="AA279" s="545"/>
      <c r="AB279" s="545"/>
      <c r="AC279" s="545"/>
    </row>
    <row r="280" spans="1:29" ht="12.75" customHeight="1">
      <c r="A280" s="545"/>
      <c r="B280" s="545"/>
      <c r="C280" s="545"/>
      <c r="D280" s="545"/>
      <c r="E280" s="545"/>
      <c r="F280" s="545"/>
      <c r="H280" s="545"/>
      <c r="I280" s="545"/>
      <c r="J280" s="545"/>
      <c r="K280" s="545"/>
      <c r="L280" s="545"/>
      <c r="M280" s="545"/>
      <c r="N280" s="545"/>
      <c r="O280" s="545"/>
      <c r="P280" s="545"/>
      <c r="Q280" s="545"/>
      <c r="R280" s="545"/>
      <c r="S280" s="545"/>
      <c r="W280" s="545"/>
      <c r="X280" s="545"/>
      <c r="Y280" s="545"/>
      <c r="Z280" s="545"/>
      <c r="AA280" s="545"/>
      <c r="AB280" s="545"/>
      <c r="AC280" s="545"/>
    </row>
    <row r="281" spans="1:29" ht="12.75" customHeight="1">
      <c r="A281" s="545"/>
      <c r="B281" s="545"/>
      <c r="C281" s="545"/>
      <c r="D281" s="545"/>
      <c r="E281" s="545"/>
      <c r="F281" s="545"/>
      <c r="H281" s="545"/>
      <c r="I281" s="545"/>
      <c r="J281" s="545"/>
      <c r="K281" s="545"/>
      <c r="L281" s="545"/>
      <c r="M281" s="545"/>
      <c r="N281" s="545"/>
      <c r="O281" s="545"/>
      <c r="P281" s="545"/>
      <c r="Q281" s="545"/>
      <c r="R281" s="545"/>
      <c r="S281" s="545"/>
      <c r="W281" s="545"/>
      <c r="X281" s="545"/>
      <c r="Y281" s="545"/>
      <c r="Z281" s="545"/>
      <c r="AA281" s="545"/>
      <c r="AB281" s="545"/>
      <c r="AC281" s="545"/>
    </row>
    <row r="282" spans="1:29" ht="12.75" customHeight="1">
      <c r="A282" s="545"/>
      <c r="B282" s="545"/>
      <c r="C282" s="545"/>
      <c r="D282" s="545"/>
      <c r="E282" s="545"/>
      <c r="F282" s="545"/>
      <c r="H282" s="545"/>
      <c r="I282" s="545"/>
      <c r="J282" s="545"/>
      <c r="K282" s="545"/>
      <c r="L282" s="545"/>
      <c r="M282" s="545"/>
      <c r="N282" s="545"/>
      <c r="O282" s="545"/>
      <c r="P282" s="545"/>
      <c r="Q282" s="545"/>
      <c r="R282" s="545"/>
      <c r="S282" s="545"/>
      <c r="W282" s="545"/>
      <c r="X282" s="545"/>
      <c r="Y282" s="545"/>
      <c r="Z282" s="545"/>
      <c r="AA282" s="545"/>
      <c r="AB282" s="545"/>
      <c r="AC282" s="545"/>
    </row>
    <row r="283" spans="1:29" ht="12.75" customHeight="1">
      <c r="A283" s="545"/>
      <c r="B283" s="545"/>
      <c r="C283" s="545"/>
      <c r="D283" s="545"/>
      <c r="E283" s="545"/>
      <c r="F283" s="545"/>
      <c r="H283" s="545"/>
      <c r="I283" s="545"/>
      <c r="J283" s="545"/>
      <c r="K283" s="545"/>
      <c r="L283" s="545"/>
      <c r="M283" s="545"/>
      <c r="N283" s="545"/>
      <c r="O283" s="545"/>
      <c r="P283" s="545"/>
      <c r="Q283" s="545"/>
      <c r="R283" s="545"/>
      <c r="S283" s="545"/>
      <c r="W283" s="545"/>
      <c r="X283" s="545"/>
      <c r="Y283" s="545"/>
      <c r="Z283" s="545"/>
      <c r="AA283" s="545"/>
      <c r="AB283" s="545"/>
      <c r="AC283" s="545"/>
    </row>
    <row r="284" spans="1:29" ht="12.75" customHeight="1">
      <c r="A284" s="545"/>
      <c r="B284" s="545"/>
      <c r="C284" s="545"/>
      <c r="D284" s="545"/>
      <c r="E284" s="545"/>
      <c r="F284" s="545"/>
      <c r="H284" s="545"/>
      <c r="I284" s="545"/>
      <c r="J284" s="545"/>
      <c r="K284" s="545"/>
      <c r="L284" s="545"/>
      <c r="M284" s="545"/>
      <c r="N284" s="545"/>
      <c r="O284" s="545"/>
      <c r="P284" s="545"/>
      <c r="Q284" s="545"/>
      <c r="R284" s="545"/>
      <c r="S284" s="545"/>
      <c r="W284" s="545"/>
      <c r="X284" s="545"/>
      <c r="Y284" s="545"/>
      <c r="Z284" s="545"/>
      <c r="AA284" s="545"/>
      <c r="AB284" s="545"/>
      <c r="AC284" s="545"/>
    </row>
    <row r="285" spans="1:29" ht="12.75" customHeight="1">
      <c r="A285" s="545"/>
      <c r="B285" s="545"/>
      <c r="C285" s="545"/>
      <c r="D285" s="545"/>
      <c r="E285" s="545"/>
      <c r="F285" s="545"/>
      <c r="H285" s="545"/>
      <c r="I285" s="545"/>
      <c r="J285" s="545"/>
      <c r="K285" s="545"/>
      <c r="L285" s="545"/>
      <c r="M285" s="545"/>
      <c r="N285" s="545"/>
      <c r="O285" s="545"/>
      <c r="P285" s="545"/>
      <c r="Q285" s="545"/>
      <c r="R285" s="545"/>
      <c r="S285" s="545"/>
      <c r="W285" s="545"/>
      <c r="X285" s="545"/>
      <c r="Y285" s="545"/>
      <c r="Z285" s="545"/>
      <c r="AA285" s="545"/>
      <c r="AB285" s="545"/>
      <c r="AC285" s="545"/>
    </row>
    <row r="286" spans="1:29" ht="12.75" customHeight="1">
      <c r="A286" s="545"/>
      <c r="B286" s="545"/>
      <c r="C286" s="545"/>
      <c r="D286" s="545"/>
      <c r="E286" s="545"/>
      <c r="F286" s="545"/>
      <c r="H286" s="545"/>
      <c r="I286" s="545"/>
      <c r="J286" s="545"/>
      <c r="K286" s="545"/>
      <c r="L286" s="545"/>
      <c r="M286" s="545"/>
      <c r="N286" s="545"/>
      <c r="O286" s="545"/>
      <c r="P286" s="545"/>
      <c r="Q286" s="545"/>
      <c r="R286" s="545"/>
      <c r="S286" s="545"/>
      <c r="W286" s="545"/>
      <c r="X286" s="545"/>
      <c r="Y286" s="545"/>
      <c r="Z286" s="545"/>
      <c r="AA286" s="545"/>
      <c r="AB286" s="545"/>
      <c r="AC286" s="545"/>
    </row>
    <row r="287" spans="1:29" ht="12.75" customHeight="1">
      <c r="A287" s="545"/>
      <c r="B287" s="545"/>
      <c r="C287" s="545"/>
      <c r="D287" s="545"/>
      <c r="E287" s="545"/>
      <c r="F287" s="545"/>
      <c r="H287" s="545"/>
      <c r="I287" s="545"/>
      <c r="J287" s="545"/>
      <c r="K287" s="545"/>
      <c r="L287" s="545"/>
      <c r="M287" s="545"/>
      <c r="N287" s="545"/>
      <c r="O287" s="545"/>
      <c r="P287" s="545"/>
      <c r="Q287" s="545"/>
      <c r="R287" s="545"/>
      <c r="S287" s="545"/>
      <c r="W287" s="545"/>
      <c r="X287" s="545"/>
      <c r="Y287" s="545"/>
      <c r="Z287" s="545"/>
      <c r="AA287" s="545"/>
      <c r="AB287" s="545"/>
      <c r="AC287" s="545"/>
    </row>
    <row r="288" spans="1:29" ht="12.75" customHeight="1">
      <c r="A288" s="545"/>
      <c r="B288" s="545"/>
      <c r="C288" s="545"/>
      <c r="D288" s="545"/>
      <c r="E288" s="545"/>
      <c r="F288" s="545"/>
      <c r="H288" s="545"/>
      <c r="I288" s="545"/>
      <c r="J288" s="545"/>
      <c r="K288" s="545"/>
      <c r="L288" s="545"/>
      <c r="M288" s="545"/>
      <c r="N288" s="545"/>
      <c r="O288" s="545"/>
      <c r="P288" s="545"/>
      <c r="Q288" s="545"/>
      <c r="R288" s="545"/>
      <c r="S288" s="545"/>
      <c r="W288" s="545"/>
      <c r="X288" s="545"/>
      <c r="Y288" s="545"/>
      <c r="Z288" s="545"/>
      <c r="AA288" s="545"/>
      <c r="AB288" s="545"/>
      <c r="AC288" s="545"/>
    </row>
    <row r="289" spans="1:29" ht="12.75" customHeight="1">
      <c r="A289" s="545"/>
      <c r="B289" s="545"/>
      <c r="C289" s="545"/>
      <c r="D289" s="545"/>
      <c r="E289" s="545"/>
      <c r="F289" s="545"/>
      <c r="H289" s="545"/>
      <c r="I289" s="545"/>
      <c r="J289" s="545"/>
      <c r="K289" s="545"/>
      <c r="L289" s="545"/>
      <c r="M289" s="545"/>
      <c r="N289" s="545"/>
      <c r="O289" s="545"/>
      <c r="P289" s="545"/>
      <c r="Q289" s="545"/>
      <c r="R289" s="545"/>
      <c r="S289" s="545"/>
      <c r="W289" s="545"/>
      <c r="X289" s="545"/>
      <c r="Y289" s="545"/>
      <c r="Z289" s="545"/>
      <c r="AA289" s="545"/>
      <c r="AB289" s="545"/>
      <c r="AC289" s="545"/>
    </row>
    <row r="290" spans="1:29" ht="12.75" customHeight="1">
      <c r="A290" s="545"/>
      <c r="B290" s="545"/>
      <c r="C290" s="545"/>
      <c r="D290" s="545"/>
      <c r="E290" s="545"/>
      <c r="F290" s="545"/>
      <c r="H290" s="545"/>
      <c r="I290" s="545"/>
      <c r="J290" s="545"/>
      <c r="K290" s="545"/>
      <c r="L290" s="545"/>
      <c r="M290" s="545"/>
      <c r="N290" s="545"/>
      <c r="O290" s="545"/>
      <c r="P290" s="545"/>
      <c r="Q290" s="545"/>
      <c r="R290" s="545"/>
      <c r="S290" s="545"/>
      <c r="W290" s="545"/>
      <c r="X290" s="545"/>
      <c r="Y290" s="545"/>
      <c r="Z290" s="545"/>
      <c r="AA290" s="545"/>
      <c r="AB290" s="545"/>
      <c r="AC290" s="545"/>
    </row>
    <row r="291" spans="1:29" ht="12.75" customHeight="1">
      <c r="A291" s="545"/>
      <c r="B291" s="545"/>
      <c r="C291" s="545"/>
      <c r="D291" s="545"/>
      <c r="E291" s="545"/>
      <c r="F291" s="545"/>
      <c r="H291" s="545"/>
      <c r="I291" s="545"/>
      <c r="J291" s="545"/>
      <c r="K291" s="545"/>
      <c r="L291" s="545"/>
      <c r="M291" s="545"/>
      <c r="N291" s="545"/>
      <c r="O291" s="545"/>
      <c r="P291" s="545"/>
      <c r="Q291" s="545"/>
      <c r="R291" s="545"/>
      <c r="S291" s="545"/>
      <c r="W291" s="545"/>
      <c r="X291" s="545"/>
      <c r="Y291" s="545"/>
      <c r="Z291" s="545"/>
      <c r="AA291" s="545"/>
      <c r="AB291" s="545"/>
      <c r="AC291" s="545"/>
    </row>
    <row r="292" spans="1:29" ht="12.75" customHeight="1">
      <c r="A292" s="545"/>
      <c r="B292" s="545"/>
      <c r="C292" s="545"/>
      <c r="D292" s="545"/>
      <c r="E292" s="545"/>
      <c r="F292" s="545"/>
      <c r="H292" s="545"/>
      <c r="I292" s="545"/>
      <c r="J292" s="545"/>
      <c r="K292" s="545"/>
      <c r="L292" s="545"/>
      <c r="M292" s="545"/>
      <c r="N292" s="545"/>
      <c r="O292" s="545"/>
      <c r="P292" s="545"/>
      <c r="Q292" s="545"/>
      <c r="R292" s="545"/>
      <c r="S292" s="545"/>
      <c r="W292" s="545"/>
      <c r="X292" s="545"/>
      <c r="Y292" s="545"/>
      <c r="Z292" s="545"/>
      <c r="AA292" s="545"/>
      <c r="AB292" s="545"/>
      <c r="AC292" s="545"/>
    </row>
    <row r="293" spans="1:29" ht="12.75" customHeight="1">
      <c r="A293" s="545"/>
      <c r="B293" s="545"/>
      <c r="C293" s="545"/>
      <c r="D293" s="545"/>
      <c r="E293" s="545"/>
      <c r="F293" s="545"/>
      <c r="H293" s="545"/>
      <c r="I293" s="545"/>
      <c r="J293" s="545"/>
      <c r="K293" s="545"/>
      <c r="L293" s="545"/>
      <c r="M293" s="545"/>
      <c r="N293" s="545"/>
      <c r="O293" s="545"/>
      <c r="P293" s="545"/>
      <c r="Q293" s="545"/>
      <c r="R293" s="545"/>
      <c r="S293" s="545"/>
      <c r="W293" s="545"/>
      <c r="X293" s="545"/>
      <c r="Y293" s="545"/>
      <c r="Z293" s="545"/>
      <c r="AA293" s="545"/>
      <c r="AB293" s="545"/>
      <c r="AC293" s="545"/>
    </row>
    <row r="294" spans="1:29" ht="12.75" customHeight="1">
      <c r="A294" s="545"/>
      <c r="B294" s="545"/>
      <c r="C294" s="545"/>
      <c r="D294" s="545"/>
      <c r="E294" s="545"/>
      <c r="F294" s="545"/>
      <c r="H294" s="545"/>
      <c r="I294" s="545"/>
      <c r="J294" s="545"/>
      <c r="K294" s="545"/>
      <c r="L294" s="545"/>
      <c r="M294" s="545"/>
      <c r="N294" s="545"/>
      <c r="O294" s="545"/>
      <c r="P294" s="545"/>
      <c r="Q294" s="545"/>
      <c r="R294" s="545"/>
      <c r="S294" s="545"/>
      <c r="W294" s="545"/>
      <c r="X294" s="545"/>
      <c r="Y294" s="545"/>
      <c r="Z294" s="545"/>
      <c r="AA294" s="545"/>
      <c r="AB294" s="545"/>
      <c r="AC294" s="545"/>
    </row>
    <row r="295" spans="1:29" ht="12.75" customHeight="1">
      <c r="A295" s="545"/>
      <c r="B295" s="545"/>
      <c r="C295" s="545"/>
      <c r="D295" s="545"/>
      <c r="E295" s="545"/>
      <c r="F295" s="545"/>
      <c r="H295" s="545"/>
      <c r="I295" s="545"/>
      <c r="J295" s="545"/>
      <c r="K295" s="545"/>
      <c r="L295" s="545"/>
      <c r="M295" s="545"/>
      <c r="N295" s="545"/>
      <c r="O295" s="545"/>
      <c r="P295" s="545"/>
      <c r="Q295" s="545"/>
      <c r="R295" s="545"/>
      <c r="S295" s="545"/>
      <c r="W295" s="545"/>
      <c r="X295" s="545"/>
      <c r="Y295" s="545"/>
      <c r="Z295" s="545"/>
      <c r="AA295" s="545"/>
      <c r="AB295" s="545"/>
      <c r="AC295" s="545"/>
    </row>
    <row r="296" spans="1:29" ht="12.75" customHeight="1">
      <c r="A296" s="545"/>
      <c r="B296" s="545"/>
      <c r="C296" s="545"/>
      <c r="D296" s="545"/>
      <c r="E296" s="545"/>
      <c r="F296" s="545"/>
      <c r="H296" s="545"/>
      <c r="I296" s="545"/>
      <c r="J296" s="545"/>
      <c r="K296" s="545"/>
      <c r="L296" s="545"/>
      <c r="M296" s="545"/>
      <c r="N296" s="545"/>
      <c r="O296" s="545"/>
      <c r="P296" s="545"/>
      <c r="Q296" s="545"/>
      <c r="R296" s="545"/>
      <c r="S296" s="545"/>
      <c r="W296" s="545"/>
      <c r="X296" s="545"/>
      <c r="Y296" s="545"/>
      <c r="Z296" s="545"/>
      <c r="AA296" s="545"/>
      <c r="AB296" s="545"/>
      <c r="AC296" s="545"/>
    </row>
    <row r="297" spans="1:29" ht="12.75" customHeight="1">
      <c r="A297" s="545"/>
      <c r="B297" s="545"/>
      <c r="C297" s="545"/>
      <c r="D297" s="545"/>
      <c r="E297" s="545"/>
      <c r="F297" s="545"/>
      <c r="H297" s="545"/>
      <c r="I297" s="545"/>
      <c r="J297" s="545"/>
      <c r="K297" s="545"/>
      <c r="L297" s="545"/>
      <c r="M297" s="545"/>
      <c r="N297" s="545"/>
      <c r="O297" s="545"/>
      <c r="P297" s="545"/>
      <c r="Q297" s="545"/>
      <c r="R297" s="545"/>
      <c r="S297" s="545"/>
      <c r="W297" s="545"/>
      <c r="X297" s="545"/>
      <c r="Y297" s="545"/>
      <c r="Z297" s="545"/>
      <c r="AA297" s="545"/>
      <c r="AB297" s="545"/>
      <c r="AC297" s="545"/>
    </row>
    <row r="298" spans="1:29" ht="12.75" customHeight="1">
      <c r="A298" s="545"/>
      <c r="B298" s="545"/>
      <c r="C298" s="545"/>
      <c r="D298" s="545"/>
      <c r="E298" s="545"/>
      <c r="F298" s="545"/>
      <c r="H298" s="545"/>
      <c r="I298" s="545"/>
      <c r="J298" s="545"/>
      <c r="K298" s="545"/>
      <c r="L298" s="545"/>
      <c r="M298" s="545"/>
      <c r="N298" s="545"/>
      <c r="O298" s="545"/>
      <c r="P298" s="545"/>
      <c r="Q298" s="545"/>
      <c r="R298" s="545"/>
      <c r="S298" s="545"/>
      <c r="W298" s="545"/>
      <c r="X298" s="545"/>
      <c r="Y298" s="545"/>
      <c r="Z298" s="545"/>
      <c r="AA298" s="545"/>
      <c r="AB298" s="545"/>
      <c r="AC298" s="545"/>
    </row>
    <row r="299" spans="1:29" ht="12.75" customHeight="1">
      <c r="A299" s="545"/>
      <c r="B299" s="545"/>
      <c r="C299" s="545"/>
      <c r="D299" s="545"/>
      <c r="E299" s="545"/>
      <c r="F299" s="545"/>
      <c r="H299" s="545"/>
      <c r="I299" s="545"/>
      <c r="J299" s="545"/>
      <c r="K299" s="545"/>
      <c r="L299" s="545"/>
      <c r="M299" s="545"/>
      <c r="N299" s="545"/>
      <c r="O299" s="545"/>
      <c r="P299" s="545"/>
      <c r="Q299" s="545"/>
      <c r="R299" s="545"/>
      <c r="S299" s="545"/>
      <c r="W299" s="545"/>
      <c r="X299" s="545"/>
      <c r="Y299" s="545"/>
      <c r="Z299" s="545"/>
      <c r="AA299" s="545"/>
      <c r="AB299" s="545"/>
      <c r="AC299" s="545"/>
    </row>
    <row r="300" spans="1:29" ht="12.75" customHeight="1">
      <c r="A300" s="545"/>
      <c r="B300" s="545"/>
      <c r="C300" s="545"/>
      <c r="D300" s="545"/>
      <c r="E300" s="545"/>
      <c r="F300" s="545"/>
      <c r="H300" s="545"/>
      <c r="I300" s="545"/>
      <c r="J300" s="545"/>
      <c r="K300" s="545"/>
      <c r="L300" s="545"/>
      <c r="M300" s="545"/>
      <c r="N300" s="545"/>
      <c r="O300" s="545"/>
      <c r="P300" s="545"/>
      <c r="Q300" s="545"/>
      <c r="R300" s="545"/>
      <c r="S300" s="545"/>
      <c r="W300" s="545"/>
      <c r="X300" s="545"/>
      <c r="Y300" s="545"/>
      <c r="Z300" s="545"/>
      <c r="AA300" s="545"/>
      <c r="AB300" s="545"/>
      <c r="AC300" s="545"/>
    </row>
    <row r="301" spans="1:29" ht="12.75" customHeight="1">
      <c r="A301" s="545"/>
      <c r="B301" s="545"/>
      <c r="C301" s="545"/>
      <c r="D301" s="545"/>
      <c r="E301" s="545"/>
      <c r="F301" s="545"/>
      <c r="H301" s="545"/>
      <c r="I301" s="545"/>
      <c r="J301" s="545"/>
      <c r="K301" s="545"/>
      <c r="L301" s="545"/>
      <c r="M301" s="545"/>
      <c r="N301" s="545"/>
      <c r="O301" s="545"/>
      <c r="P301" s="545"/>
      <c r="Q301" s="545"/>
      <c r="R301" s="545"/>
      <c r="S301" s="545"/>
      <c r="W301" s="545"/>
      <c r="X301" s="545"/>
      <c r="Y301" s="545"/>
      <c r="Z301" s="545"/>
      <c r="AA301" s="545"/>
      <c r="AB301" s="545"/>
      <c r="AC301" s="545"/>
    </row>
    <row r="302" spans="1:29" ht="12.75" customHeight="1">
      <c r="A302" s="545"/>
      <c r="B302" s="545"/>
      <c r="C302" s="545"/>
      <c r="D302" s="545"/>
      <c r="E302" s="545"/>
      <c r="F302" s="545"/>
      <c r="H302" s="545"/>
      <c r="I302" s="545"/>
      <c r="J302" s="545"/>
      <c r="K302" s="545"/>
      <c r="L302" s="545"/>
      <c r="M302" s="545"/>
      <c r="N302" s="545"/>
      <c r="O302" s="545"/>
      <c r="P302" s="545"/>
      <c r="Q302" s="545"/>
      <c r="R302" s="545"/>
      <c r="S302" s="545"/>
      <c r="W302" s="545"/>
      <c r="X302" s="545"/>
      <c r="Y302" s="545"/>
      <c r="Z302" s="545"/>
      <c r="AA302" s="545"/>
      <c r="AB302" s="545"/>
      <c r="AC302" s="545"/>
    </row>
    <row r="303" spans="1:29" ht="12.75" customHeight="1">
      <c r="A303" s="545"/>
      <c r="B303" s="545"/>
      <c r="C303" s="545"/>
      <c r="D303" s="545"/>
      <c r="E303" s="545"/>
      <c r="F303" s="545"/>
      <c r="H303" s="545"/>
      <c r="I303" s="545"/>
      <c r="J303" s="545"/>
      <c r="K303" s="545"/>
      <c r="L303" s="545"/>
      <c r="M303" s="545"/>
      <c r="N303" s="545"/>
      <c r="O303" s="545"/>
      <c r="P303" s="545"/>
      <c r="Q303" s="545"/>
      <c r="R303" s="545"/>
      <c r="S303" s="545"/>
      <c r="W303" s="545"/>
      <c r="X303" s="545"/>
      <c r="Y303" s="545"/>
      <c r="Z303" s="545"/>
      <c r="AA303" s="545"/>
      <c r="AB303" s="545"/>
      <c r="AC303" s="545"/>
    </row>
    <row r="304" spans="1:29" ht="12.75" customHeight="1">
      <c r="A304" s="545"/>
      <c r="B304" s="545"/>
      <c r="C304" s="545"/>
      <c r="D304" s="545"/>
      <c r="E304" s="545"/>
      <c r="F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W304" s="545"/>
      <c r="X304" s="545"/>
      <c r="Y304" s="545"/>
      <c r="Z304" s="545"/>
      <c r="AA304" s="545"/>
      <c r="AB304" s="545"/>
      <c r="AC304" s="545"/>
    </row>
    <row r="305" spans="1:29" ht="12.75" customHeight="1">
      <c r="A305" s="545"/>
      <c r="B305" s="545"/>
      <c r="C305" s="545"/>
      <c r="D305" s="545"/>
      <c r="E305" s="545"/>
      <c r="F305" s="545"/>
      <c r="H305" s="545"/>
      <c r="I305" s="545"/>
      <c r="J305" s="545"/>
      <c r="K305" s="545"/>
      <c r="L305" s="545"/>
      <c r="M305" s="545"/>
      <c r="N305" s="545"/>
      <c r="O305" s="545"/>
      <c r="P305" s="545"/>
      <c r="Q305" s="545"/>
      <c r="R305" s="545"/>
      <c r="S305" s="545"/>
      <c r="W305" s="545"/>
      <c r="X305" s="545"/>
      <c r="Y305" s="545"/>
      <c r="Z305" s="545"/>
      <c r="AA305" s="545"/>
      <c r="AB305" s="545"/>
      <c r="AC305" s="545"/>
    </row>
    <row r="306" spans="1:29" ht="12.75" customHeight="1">
      <c r="A306" s="545"/>
      <c r="B306" s="545"/>
      <c r="C306" s="545"/>
      <c r="D306" s="545"/>
      <c r="E306" s="545"/>
      <c r="F306" s="545"/>
      <c r="H306" s="545"/>
      <c r="I306" s="545"/>
      <c r="J306" s="545"/>
      <c r="K306" s="545"/>
      <c r="L306" s="545"/>
      <c r="M306" s="545"/>
      <c r="N306" s="545"/>
      <c r="O306" s="545"/>
      <c r="P306" s="545"/>
      <c r="Q306" s="545"/>
      <c r="R306" s="545"/>
      <c r="S306" s="545"/>
      <c r="W306" s="545"/>
      <c r="X306" s="545"/>
      <c r="Y306" s="545"/>
      <c r="Z306" s="545"/>
      <c r="AA306" s="545"/>
      <c r="AB306" s="545"/>
      <c r="AC306" s="545"/>
    </row>
    <row r="307" spans="1:29" ht="12.75" customHeight="1">
      <c r="A307" s="545"/>
      <c r="B307" s="545"/>
      <c r="C307" s="545"/>
      <c r="D307" s="545"/>
      <c r="E307" s="545"/>
      <c r="F307" s="545"/>
      <c r="H307" s="545"/>
      <c r="I307" s="545"/>
      <c r="J307" s="545"/>
      <c r="K307" s="545"/>
      <c r="L307" s="545"/>
      <c r="M307" s="545"/>
      <c r="N307" s="545"/>
      <c r="O307" s="545"/>
      <c r="P307" s="545"/>
      <c r="Q307" s="545"/>
      <c r="R307" s="545"/>
      <c r="S307" s="545"/>
      <c r="W307" s="545"/>
      <c r="X307" s="545"/>
      <c r="Y307" s="545"/>
      <c r="Z307" s="545"/>
      <c r="AA307" s="545"/>
      <c r="AB307" s="545"/>
      <c r="AC307" s="545"/>
    </row>
    <row r="308" spans="1:29" ht="12.75" customHeight="1">
      <c r="A308" s="545"/>
      <c r="B308" s="545"/>
      <c r="C308" s="545"/>
      <c r="D308" s="545"/>
      <c r="E308" s="545"/>
      <c r="F308" s="545"/>
      <c r="H308" s="545"/>
      <c r="I308" s="545"/>
      <c r="J308" s="545"/>
      <c r="K308" s="545"/>
      <c r="L308" s="545"/>
      <c r="M308" s="545"/>
      <c r="N308" s="545"/>
      <c r="O308" s="545"/>
      <c r="P308" s="545"/>
      <c r="Q308" s="545"/>
      <c r="R308" s="545"/>
      <c r="S308" s="545"/>
      <c r="W308" s="545"/>
      <c r="X308" s="545"/>
      <c r="Y308" s="545"/>
      <c r="Z308" s="545"/>
      <c r="AA308" s="545"/>
      <c r="AB308" s="545"/>
      <c r="AC308" s="545"/>
    </row>
    <row r="309" spans="1:29" ht="12.75" customHeight="1">
      <c r="A309" s="545"/>
      <c r="B309" s="545"/>
      <c r="C309" s="545"/>
      <c r="D309" s="545"/>
      <c r="E309" s="545"/>
      <c r="F309" s="545"/>
      <c r="H309" s="545"/>
      <c r="I309" s="545"/>
      <c r="J309" s="545"/>
      <c r="K309" s="545"/>
      <c r="L309" s="545"/>
      <c r="M309" s="545"/>
      <c r="N309" s="545"/>
      <c r="O309" s="545"/>
      <c r="P309" s="545"/>
      <c r="Q309" s="545"/>
      <c r="R309" s="545"/>
      <c r="S309" s="545"/>
      <c r="W309" s="545"/>
      <c r="X309" s="545"/>
      <c r="Y309" s="545"/>
      <c r="Z309" s="545"/>
      <c r="AA309" s="545"/>
      <c r="AB309" s="545"/>
      <c r="AC309" s="545"/>
    </row>
    <row r="310" spans="1:29" ht="12.75" customHeight="1">
      <c r="A310" s="545"/>
      <c r="B310" s="545"/>
      <c r="C310" s="545"/>
      <c r="D310" s="545"/>
      <c r="E310" s="545"/>
      <c r="F310" s="545"/>
      <c r="H310" s="545"/>
      <c r="I310" s="545"/>
      <c r="J310" s="545"/>
      <c r="K310" s="545"/>
      <c r="L310" s="545"/>
      <c r="M310" s="545"/>
      <c r="N310" s="545"/>
      <c r="O310" s="545"/>
      <c r="P310" s="545"/>
      <c r="Q310" s="545"/>
      <c r="R310" s="545"/>
      <c r="S310" s="545"/>
      <c r="W310" s="545"/>
      <c r="X310" s="545"/>
      <c r="Y310" s="545"/>
      <c r="Z310" s="545"/>
      <c r="AA310" s="545"/>
      <c r="AB310" s="545"/>
      <c r="AC310" s="545"/>
    </row>
    <row r="311" spans="1:29" ht="12.75" customHeight="1">
      <c r="A311" s="545"/>
      <c r="B311" s="545"/>
      <c r="C311" s="545"/>
      <c r="D311" s="545"/>
      <c r="E311" s="545"/>
      <c r="F311" s="545"/>
      <c r="H311" s="545"/>
      <c r="I311" s="545"/>
      <c r="J311" s="545"/>
      <c r="K311" s="545"/>
      <c r="L311" s="545"/>
      <c r="M311" s="545"/>
      <c r="N311" s="545"/>
      <c r="O311" s="545"/>
      <c r="P311" s="545"/>
      <c r="Q311" s="545"/>
      <c r="R311" s="545"/>
      <c r="S311" s="545"/>
      <c r="W311" s="545"/>
      <c r="X311" s="545"/>
      <c r="Y311" s="545"/>
      <c r="Z311" s="545"/>
      <c r="AA311" s="545"/>
      <c r="AB311" s="545"/>
      <c r="AC311" s="545"/>
    </row>
    <row r="312" spans="1:29" ht="12.75" customHeight="1">
      <c r="A312" s="545"/>
      <c r="B312" s="545"/>
      <c r="C312" s="545"/>
      <c r="D312" s="545"/>
      <c r="E312" s="545"/>
      <c r="F312" s="545"/>
      <c r="H312" s="545"/>
      <c r="I312" s="545"/>
      <c r="J312" s="545"/>
      <c r="K312" s="545"/>
      <c r="L312" s="545"/>
      <c r="M312" s="545"/>
      <c r="N312" s="545"/>
      <c r="O312" s="545"/>
      <c r="P312" s="545"/>
      <c r="Q312" s="545"/>
      <c r="R312" s="545"/>
      <c r="S312" s="545"/>
      <c r="W312" s="545"/>
      <c r="X312" s="545"/>
      <c r="Y312" s="545"/>
      <c r="Z312" s="545"/>
      <c r="AA312" s="545"/>
      <c r="AB312" s="545"/>
      <c r="AC312" s="545"/>
    </row>
    <row r="313" spans="1:29" ht="12.75" customHeight="1">
      <c r="A313" s="545"/>
      <c r="B313" s="545"/>
      <c r="C313" s="545"/>
      <c r="D313" s="545"/>
      <c r="E313" s="545"/>
      <c r="F313" s="545"/>
      <c r="H313" s="545"/>
      <c r="I313" s="545"/>
      <c r="J313" s="545"/>
      <c r="K313" s="545"/>
      <c r="L313" s="545"/>
      <c r="M313" s="545"/>
      <c r="N313" s="545"/>
      <c r="O313" s="545"/>
      <c r="P313" s="545"/>
      <c r="Q313" s="545"/>
      <c r="R313" s="545"/>
      <c r="S313" s="545"/>
      <c r="W313" s="545"/>
      <c r="X313" s="545"/>
      <c r="Y313" s="545"/>
      <c r="Z313" s="545"/>
      <c r="AA313" s="545"/>
      <c r="AB313" s="545"/>
      <c r="AC313" s="545"/>
    </row>
    <row r="314" spans="1:29" ht="12.75" customHeight="1">
      <c r="A314" s="545"/>
      <c r="B314" s="545"/>
      <c r="C314" s="545"/>
      <c r="D314" s="545"/>
      <c r="E314" s="545"/>
      <c r="F314" s="545"/>
      <c r="H314" s="545"/>
      <c r="I314" s="545"/>
      <c r="J314" s="545"/>
      <c r="K314" s="545"/>
      <c r="L314" s="545"/>
      <c r="M314" s="545"/>
      <c r="N314" s="545"/>
      <c r="O314" s="545"/>
      <c r="P314" s="545"/>
      <c r="Q314" s="545"/>
      <c r="R314" s="545"/>
      <c r="S314" s="545"/>
      <c r="W314" s="545"/>
      <c r="X314" s="545"/>
      <c r="Y314" s="545"/>
      <c r="Z314" s="545"/>
      <c r="AA314" s="545"/>
      <c r="AB314" s="545"/>
      <c r="AC314" s="545"/>
    </row>
    <row r="315" spans="1:29" ht="12.75" customHeight="1">
      <c r="A315" s="545"/>
      <c r="B315" s="545"/>
      <c r="C315" s="545"/>
      <c r="D315" s="545"/>
      <c r="E315" s="545"/>
      <c r="F315" s="545"/>
      <c r="H315" s="545"/>
      <c r="I315" s="545"/>
      <c r="J315" s="545"/>
      <c r="K315" s="545"/>
      <c r="L315" s="545"/>
      <c r="M315" s="545"/>
      <c r="N315" s="545"/>
      <c r="O315" s="545"/>
      <c r="P315" s="545"/>
      <c r="Q315" s="545"/>
      <c r="R315" s="545"/>
      <c r="S315" s="545"/>
      <c r="W315" s="545"/>
      <c r="X315" s="545"/>
      <c r="Y315" s="545"/>
      <c r="Z315" s="545"/>
      <c r="AA315" s="545"/>
      <c r="AB315" s="545"/>
      <c r="AC315" s="545"/>
    </row>
    <row r="316" spans="1:29" ht="12.75" customHeight="1">
      <c r="A316" s="545"/>
      <c r="B316" s="545"/>
      <c r="C316" s="545"/>
      <c r="D316" s="545"/>
      <c r="E316" s="545"/>
      <c r="F316" s="545"/>
      <c r="H316" s="545"/>
      <c r="I316" s="545"/>
      <c r="J316" s="545"/>
      <c r="K316" s="545"/>
      <c r="L316" s="545"/>
      <c r="M316" s="545"/>
      <c r="N316" s="545"/>
      <c r="O316" s="545"/>
      <c r="P316" s="545"/>
      <c r="Q316" s="545"/>
      <c r="R316" s="545"/>
      <c r="S316" s="545"/>
      <c r="W316" s="545"/>
      <c r="X316" s="545"/>
      <c r="Y316" s="545"/>
      <c r="Z316" s="545"/>
      <c r="AA316" s="545"/>
      <c r="AB316" s="545"/>
      <c r="AC316" s="545"/>
    </row>
    <row r="317" spans="1:29" ht="12.75" customHeight="1">
      <c r="A317" s="545"/>
      <c r="B317" s="545"/>
      <c r="C317" s="545"/>
      <c r="D317" s="545"/>
      <c r="E317" s="545"/>
      <c r="F317" s="545"/>
      <c r="H317" s="545"/>
      <c r="I317" s="545"/>
      <c r="J317" s="545"/>
      <c r="K317" s="545"/>
      <c r="L317" s="545"/>
      <c r="M317" s="545"/>
      <c r="N317" s="545"/>
      <c r="O317" s="545"/>
      <c r="P317" s="545"/>
      <c r="Q317" s="545"/>
      <c r="R317" s="545"/>
      <c r="S317" s="545"/>
      <c r="W317" s="545"/>
      <c r="X317" s="545"/>
      <c r="Y317" s="545"/>
      <c r="Z317" s="545"/>
      <c r="AA317" s="545"/>
      <c r="AB317" s="545"/>
      <c r="AC317" s="545"/>
    </row>
    <row r="318" spans="1:29" ht="12.75" customHeight="1">
      <c r="A318" s="545"/>
      <c r="B318" s="545"/>
      <c r="C318" s="545"/>
      <c r="D318" s="545"/>
      <c r="E318" s="545"/>
      <c r="F318" s="545"/>
      <c r="H318" s="545"/>
      <c r="I318" s="545"/>
      <c r="J318" s="545"/>
      <c r="K318" s="545"/>
      <c r="L318" s="545"/>
      <c r="M318" s="545"/>
      <c r="N318" s="545"/>
      <c r="O318" s="545"/>
      <c r="P318" s="545"/>
      <c r="Q318" s="545"/>
      <c r="R318" s="545"/>
      <c r="S318" s="545"/>
      <c r="W318" s="545"/>
      <c r="X318" s="545"/>
      <c r="Y318" s="545"/>
      <c r="Z318" s="545"/>
      <c r="AA318" s="545"/>
      <c r="AB318" s="545"/>
      <c r="AC318" s="545"/>
    </row>
    <row r="319" spans="1:29" ht="12.75" customHeight="1">
      <c r="A319" s="545"/>
      <c r="B319" s="545"/>
      <c r="C319" s="545"/>
      <c r="D319" s="545"/>
      <c r="E319" s="545"/>
      <c r="F319" s="545"/>
      <c r="H319" s="545"/>
      <c r="I319" s="545"/>
      <c r="J319" s="545"/>
      <c r="K319" s="545"/>
      <c r="L319" s="545"/>
      <c r="M319" s="545"/>
      <c r="N319" s="545"/>
      <c r="O319" s="545"/>
      <c r="P319" s="545"/>
      <c r="Q319" s="545"/>
      <c r="R319" s="545"/>
      <c r="S319" s="545"/>
      <c r="W319" s="545"/>
      <c r="X319" s="545"/>
      <c r="Y319" s="545"/>
      <c r="Z319" s="545"/>
      <c r="AA319" s="545"/>
      <c r="AB319" s="545"/>
      <c r="AC319" s="545"/>
    </row>
    <row r="320" spans="1:29" ht="12.75" customHeight="1">
      <c r="A320" s="545"/>
      <c r="B320" s="545"/>
      <c r="C320" s="545"/>
      <c r="D320" s="545"/>
      <c r="E320" s="545"/>
      <c r="F320" s="545"/>
      <c r="H320" s="545"/>
      <c r="I320" s="545"/>
      <c r="J320" s="545"/>
      <c r="K320" s="545"/>
      <c r="L320" s="545"/>
      <c r="M320" s="545"/>
      <c r="N320" s="545"/>
      <c r="O320" s="545"/>
      <c r="P320" s="545"/>
      <c r="Q320" s="545"/>
      <c r="R320" s="545"/>
      <c r="S320" s="545"/>
      <c r="W320" s="545"/>
      <c r="X320" s="545"/>
      <c r="Y320" s="545"/>
      <c r="Z320" s="545"/>
      <c r="AA320" s="545"/>
      <c r="AB320" s="545"/>
      <c r="AC320" s="545"/>
    </row>
    <row r="321" spans="1:29" ht="12.75" customHeight="1">
      <c r="A321" s="545"/>
      <c r="B321" s="545"/>
      <c r="C321" s="545"/>
      <c r="D321" s="545"/>
      <c r="E321" s="545"/>
      <c r="F321" s="545"/>
      <c r="H321" s="545"/>
      <c r="I321" s="545"/>
      <c r="J321" s="545"/>
      <c r="K321" s="545"/>
      <c r="L321" s="545"/>
      <c r="M321" s="545"/>
      <c r="N321" s="545"/>
      <c r="O321" s="545"/>
      <c r="P321" s="545"/>
      <c r="Q321" s="545"/>
      <c r="R321" s="545"/>
      <c r="S321" s="545"/>
      <c r="W321" s="545"/>
      <c r="X321" s="545"/>
      <c r="Y321" s="545"/>
      <c r="Z321" s="545"/>
      <c r="AA321" s="545"/>
      <c r="AB321" s="545"/>
      <c r="AC321" s="545"/>
    </row>
    <row r="322" spans="1:29" ht="12.75" customHeight="1">
      <c r="A322" s="545"/>
      <c r="B322" s="545"/>
      <c r="C322" s="545"/>
      <c r="D322" s="545"/>
      <c r="E322" s="545"/>
      <c r="F322" s="545"/>
      <c r="H322" s="545"/>
      <c r="I322" s="545"/>
      <c r="J322" s="545"/>
      <c r="K322" s="545"/>
      <c r="L322" s="545"/>
      <c r="M322" s="545"/>
      <c r="N322" s="545"/>
      <c r="O322" s="545"/>
      <c r="P322" s="545"/>
      <c r="Q322" s="545"/>
      <c r="R322" s="545"/>
      <c r="S322" s="545"/>
      <c r="W322" s="545"/>
      <c r="X322" s="545"/>
      <c r="Y322" s="545"/>
      <c r="Z322" s="545"/>
      <c r="AA322" s="545"/>
      <c r="AB322" s="545"/>
      <c r="AC322" s="545"/>
    </row>
    <row r="323" spans="1:29" ht="12.75" customHeight="1">
      <c r="A323" s="545"/>
      <c r="B323" s="545"/>
      <c r="C323" s="545"/>
      <c r="D323" s="545"/>
      <c r="E323" s="545"/>
      <c r="F323" s="545"/>
      <c r="H323" s="545"/>
      <c r="I323" s="545"/>
      <c r="J323" s="545"/>
      <c r="K323" s="545"/>
      <c r="L323" s="545"/>
      <c r="M323" s="545"/>
      <c r="N323" s="545"/>
      <c r="O323" s="545"/>
      <c r="P323" s="545"/>
      <c r="Q323" s="545"/>
      <c r="R323" s="545"/>
      <c r="S323" s="545"/>
      <c r="W323" s="545"/>
      <c r="X323" s="545"/>
      <c r="Y323" s="545"/>
      <c r="Z323" s="545"/>
      <c r="AA323" s="545"/>
      <c r="AB323" s="545"/>
      <c r="AC323" s="545"/>
    </row>
    <row r="324" spans="1:29" ht="12.75" customHeight="1">
      <c r="A324" s="545"/>
      <c r="B324" s="545"/>
      <c r="C324" s="545"/>
      <c r="D324" s="545"/>
      <c r="E324" s="545"/>
      <c r="F324" s="545"/>
      <c r="H324" s="545"/>
      <c r="I324" s="545"/>
      <c r="J324" s="545"/>
      <c r="K324" s="545"/>
      <c r="L324" s="545"/>
      <c r="M324" s="545"/>
      <c r="N324" s="545"/>
      <c r="O324" s="545"/>
      <c r="P324" s="545"/>
      <c r="Q324" s="545"/>
      <c r="R324" s="545"/>
      <c r="S324" s="545"/>
      <c r="W324" s="545"/>
      <c r="X324" s="545"/>
      <c r="Y324" s="545"/>
      <c r="Z324" s="545"/>
      <c r="AA324" s="545"/>
      <c r="AB324" s="545"/>
      <c r="AC324" s="545"/>
    </row>
    <row r="325" spans="1:29" ht="12.75" customHeight="1">
      <c r="A325" s="545"/>
      <c r="B325" s="545"/>
      <c r="C325" s="545"/>
      <c r="D325" s="545"/>
      <c r="E325" s="545"/>
      <c r="F325" s="545"/>
      <c r="H325" s="545"/>
      <c r="I325" s="545"/>
      <c r="J325" s="545"/>
      <c r="K325" s="545"/>
      <c r="L325" s="545"/>
      <c r="M325" s="545"/>
      <c r="N325" s="545"/>
      <c r="O325" s="545"/>
      <c r="P325" s="545"/>
      <c r="Q325" s="545"/>
      <c r="R325" s="545"/>
      <c r="S325" s="545"/>
      <c r="W325" s="545"/>
      <c r="X325" s="545"/>
      <c r="Y325" s="545"/>
      <c r="Z325" s="545"/>
      <c r="AA325" s="545"/>
      <c r="AB325" s="545"/>
      <c r="AC325" s="545"/>
    </row>
    <row r="326" spans="1:29" ht="12.75" customHeight="1">
      <c r="A326" s="545"/>
      <c r="B326" s="545"/>
      <c r="C326" s="545"/>
      <c r="D326" s="545"/>
      <c r="E326" s="545"/>
      <c r="F326" s="545"/>
      <c r="H326" s="545"/>
      <c r="I326" s="545"/>
      <c r="J326" s="545"/>
      <c r="K326" s="545"/>
      <c r="L326" s="545"/>
      <c r="M326" s="545"/>
      <c r="N326" s="545"/>
      <c r="O326" s="545"/>
      <c r="P326" s="545"/>
      <c r="Q326" s="545"/>
      <c r="R326" s="545"/>
      <c r="S326" s="545"/>
      <c r="W326" s="545"/>
      <c r="X326" s="545"/>
      <c r="Y326" s="545"/>
      <c r="Z326" s="545"/>
      <c r="AA326" s="545"/>
      <c r="AB326" s="545"/>
      <c r="AC326" s="545"/>
    </row>
    <row r="327" spans="1:29" ht="12.75" customHeight="1">
      <c r="A327" s="545"/>
      <c r="B327" s="545"/>
      <c r="C327" s="545"/>
      <c r="D327" s="545"/>
      <c r="E327" s="545"/>
      <c r="F327" s="545"/>
      <c r="H327" s="545"/>
      <c r="I327" s="545"/>
      <c r="J327" s="545"/>
      <c r="K327" s="545"/>
      <c r="L327" s="545"/>
      <c r="M327" s="545"/>
      <c r="N327" s="545"/>
      <c r="O327" s="545"/>
      <c r="P327" s="545"/>
      <c r="Q327" s="545"/>
      <c r="R327" s="545"/>
      <c r="S327" s="545"/>
      <c r="W327" s="545"/>
      <c r="X327" s="545"/>
      <c r="Y327" s="545"/>
      <c r="Z327" s="545"/>
      <c r="AA327" s="545"/>
      <c r="AB327" s="545"/>
      <c r="AC327" s="545"/>
    </row>
    <row r="328" spans="1:29" ht="12.75" customHeight="1">
      <c r="A328" s="545"/>
      <c r="B328" s="545"/>
      <c r="C328" s="545"/>
      <c r="D328" s="545"/>
      <c r="E328" s="545"/>
      <c r="F328" s="545"/>
      <c r="H328" s="545"/>
      <c r="I328" s="545"/>
      <c r="J328" s="545"/>
      <c r="K328" s="545"/>
      <c r="L328" s="545"/>
      <c r="M328" s="545"/>
      <c r="N328" s="545"/>
      <c r="O328" s="545"/>
      <c r="P328" s="545"/>
      <c r="Q328" s="545"/>
      <c r="R328" s="545"/>
      <c r="S328" s="545"/>
      <c r="W328" s="545"/>
      <c r="X328" s="545"/>
      <c r="Y328" s="545"/>
      <c r="Z328" s="545"/>
      <c r="AA328" s="545"/>
      <c r="AB328" s="545"/>
      <c r="AC328" s="545"/>
    </row>
    <row r="329" spans="1:29" ht="12.75" customHeight="1">
      <c r="A329" s="545"/>
      <c r="B329" s="545"/>
      <c r="C329" s="545"/>
      <c r="D329" s="545"/>
      <c r="E329" s="545"/>
      <c r="F329" s="545"/>
      <c r="H329" s="545"/>
      <c r="I329" s="545"/>
      <c r="J329" s="545"/>
      <c r="K329" s="545"/>
      <c r="L329" s="545"/>
      <c r="M329" s="545"/>
      <c r="N329" s="545"/>
      <c r="O329" s="545"/>
      <c r="P329" s="545"/>
      <c r="Q329" s="545"/>
      <c r="R329" s="545"/>
      <c r="S329" s="545"/>
      <c r="W329" s="545"/>
      <c r="X329" s="545"/>
      <c r="Y329" s="545"/>
      <c r="Z329" s="545"/>
      <c r="AA329" s="545"/>
      <c r="AB329" s="545"/>
      <c r="AC329" s="545"/>
    </row>
    <row r="330" spans="1:29" ht="12.75" customHeight="1">
      <c r="A330" s="545"/>
      <c r="B330" s="545"/>
      <c r="C330" s="545"/>
      <c r="D330" s="545"/>
      <c r="E330" s="545"/>
      <c r="F330" s="545"/>
      <c r="H330" s="545"/>
      <c r="I330" s="545"/>
      <c r="J330" s="545"/>
      <c r="K330" s="545"/>
      <c r="L330" s="545"/>
      <c r="M330" s="545"/>
      <c r="N330" s="545"/>
      <c r="O330" s="545"/>
      <c r="P330" s="545"/>
      <c r="Q330" s="545"/>
      <c r="R330" s="545"/>
      <c r="S330" s="545"/>
      <c r="W330" s="545"/>
      <c r="X330" s="545"/>
      <c r="Y330" s="545"/>
      <c r="Z330" s="545"/>
      <c r="AA330" s="545"/>
      <c r="AB330" s="545"/>
      <c r="AC330" s="545"/>
    </row>
    <row r="331" spans="1:29" ht="12.75" customHeight="1">
      <c r="A331" s="545"/>
      <c r="B331" s="545"/>
      <c r="C331" s="545"/>
      <c r="D331" s="545"/>
      <c r="E331" s="545"/>
      <c r="F331" s="545"/>
      <c r="H331" s="545"/>
      <c r="I331" s="545"/>
      <c r="J331" s="545"/>
      <c r="K331" s="545"/>
      <c r="L331" s="545"/>
      <c r="M331" s="545"/>
      <c r="N331" s="545"/>
      <c r="O331" s="545"/>
      <c r="P331" s="545"/>
      <c r="Q331" s="545"/>
      <c r="R331" s="545"/>
      <c r="S331" s="545"/>
      <c r="W331" s="545"/>
      <c r="X331" s="545"/>
      <c r="Y331" s="545"/>
      <c r="Z331" s="545"/>
      <c r="AA331" s="545"/>
      <c r="AB331" s="545"/>
      <c r="AC331" s="545"/>
    </row>
    <row r="332" spans="1:29" ht="12.75" customHeight="1">
      <c r="A332" s="545"/>
      <c r="B332" s="545"/>
      <c r="C332" s="545"/>
      <c r="D332" s="545"/>
      <c r="E332" s="545"/>
      <c r="F332" s="545"/>
      <c r="H332" s="545"/>
      <c r="I332" s="545"/>
      <c r="J332" s="545"/>
      <c r="K332" s="545"/>
      <c r="L332" s="545"/>
      <c r="M332" s="545"/>
      <c r="N332" s="545"/>
      <c r="O332" s="545"/>
      <c r="P332" s="545"/>
      <c r="Q332" s="545"/>
      <c r="R332" s="545"/>
      <c r="S332" s="545"/>
      <c r="W332" s="545"/>
      <c r="X332" s="545"/>
      <c r="Y332" s="545"/>
      <c r="Z332" s="545"/>
      <c r="AA332" s="545"/>
      <c r="AB332" s="545"/>
      <c r="AC332" s="545"/>
    </row>
    <row r="333" spans="1:29" ht="12.75" customHeight="1">
      <c r="A333" s="545"/>
      <c r="B333" s="545"/>
      <c r="C333" s="545"/>
      <c r="D333" s="545"/>
      <c r="E333" s="545"/>
      <c r="F333" s="545"/>
      <c r="H333" s="545"/>
      <c r="I333" s="545"/>
      <c r="J333" s="545"/>
      <c r="K333" s="545"/>
      <c r="L333" s="545"/>
      <c r="M333" s="545"/>
      <c r="N333" s="545"/>
      <c r="O333" s="545"/>
      <c r="P333" s="545"/>
      <c r="Q333" s="545"/>
      <c r="R333" s="545"/>
      <c r="S333" s="545"/>
      <c r="W333" s="545"/>
      <c r="X333" s="545"/>
      <c r="Y333" s="545"/>
      <c r="Z333" s="545"/>
      <c r="AA333" s="545"/>
      <c r="AB333" s="545"/>
      <c r="AC333" s="545"/>
    </row>
    <row r="334" spans="1:29" ht="12.75" customHeight="1">
      <c r="A334" s="545"/>
      <c r="B334" s="545"/>
      <c r="C334" s="545"/>
      <c r="D334" s="545"/>
      <c r="E334" s="545"/>
      <c r="F334" s="545"/>
      <c r="H334" s="545"/>
      <c r="I334" s="545"/>
      <c r="J334" s="545"/>
      <c r="K334" s="545"/>
      <c r="L334" s="545"/>
      <c r="M334" s="545"/>
      <c r="N334" s="545"/>
      <c r="O334" s="545"/>
      <c r="P334" s="545"/>
      <c r="Q334" s="545"/>
      <c r="R334" s="545"/>
      <c r="S334" s="545"/>
      <c r="W334" s="545"/>
      <c r="X334" s="545"/>
      <c r="Y334" s="545"/>
      <c r="Z334" s="545"/>
      <c r="AA334" s="545"/>
      <c r="AB334" s="545"/>
      <c r="AC334" s="545"/>
    </row>
    <row r="335" spans="1:29" ht="12.75" customHeight="1">
      <c r="A335" s="545"/>
      <c r="B335" s="545"/>
      <c r="C335" s="545"/>
      <c r="D335" s="545"/>
      <c r="E335" s="545"/>
      <c r="F335" s="545"/>
      <c r="H335" s="545"/>
      <c r="I335" s="545"/>
      <c r="J335" s="545"/>
      <c r="K335" s="545"/>
      <c r="L335" s="545"/>
      <c r="M335" s="545"/>
      <c r="N335" s="545"/>
      <c r="O335" s="545"/>
      <c r="P335" s="545"/>
      <c r="Q335" s="545"/>
      <c r="R335" s="545"/>
      <c r="S335" s="545"/>
      <c r="W335" s="545"/>
      <c r="X335" s="545"/>
      <c r="Y335" s="545"/>
      <c r="Z335" s="545"/>
      <c r="AA335" s="545"/>
      <c r="AB335" s="545"/>
      <c r="AC335" s="545"/>
    </row>
    <row r="336" spans="1:29" ht="12.75" customHeight="1">
      <c r="A336" s="545"/>
      <c r="B336" s="545"/>
      <c r="C336" s="545"/>
      <c r="D336" s="545"/>
      <c r="E336" s="545"/>
      <c r="F336" s="545"/>
      <c r="H336" s="545"/>
      <c r="I336" s="545"/>
      <c r="J336" s="545"/>
      <c r="K336" s="545"/>
      <c r="L336" s="545"/>
      <c r="M336" s="545"/>
      <c r="N336" s="545"/>
      <c r="O336" s="545"/>
      <c r="P336" s="545"/>
      <c r="Q336" s="545"/>
      <c r="R336" s="545"/>
      <c r="S336" s="545"/>
      <c r="W336" s="545"/>
      <c r="X336" s="545"/>
      <c r="Y336" s="545"/>
      <c r="Z336" s="545"/>
      <c r="AA336" s="545"/>
      <c r="AB336" s="545"/>
      <c r="AC336" s="545"/>
    </row>
    <row r="337" spans="1:29" ht="12.75" customHeight="1">
      <c r="A337" s="545"/>
      <c r="B337" s="545"/>
      <c r="C337" s="545"/>
      <c r="D337" s="545"/>
      <c r="E337" s="545"/>
      <c r="F337" s="545"/>
      <c r="H337" s="545"/>
      <c r="I337" s="545"/>
      <c r="J337" s="545"/>
      <c r="K337" s="545"/>
      <c r="L337" s="545"/>
      <c r="M337" s="545"/>
      <c r="N337" s="545"/>
      <c r="O337" s="545"/>
      <c r="P337" s="545"/>
      <c r="Q337" s="545"/>
      <c r="R337" s="545"/>
      <c r="S337" s="545"/>
      <c r="W337" s="545"/>
      <c r="X337" s="545"/>
      <c r="Y337" s="545"/>
      <c r="Z337" s="545"/>
      <c r="AA337" s="545"/>
      <c r="AB337" s="545"/>
      <c r="AC337" s="545"/>
    </row>
    <row r="338" spans="1:29" ht="12.75" customHeight="1">
      <c r="A338" s="545"/>
      <c r="B338" s="545"/>
      <c r="C338" s="545"/>
      <c r="D338" s="545"/>
      <c r="E338" s="545"/>
      <c r="F338" s="545"/>
      <c r="H338" s="545"/>
      <c r="I338" s="545"/>
      <c r="J338" s="545"/>
      <c r="K338" s="545"/>
      <c r="L338" s="545"/>
      <c r="M338" s="545"/>
      <c r="N338" s="545"/>
      <c r="O338" s="545"/>
      <c r="P338" s="545"/>
      <c r="Q338" s="545"/>
      <c r="R338" s="545"/>
      <c r="S338" s="545"/>
      <c r="W338" s="545"/>
      <c r="X338" s="545"/>
      <c r="Y338" s="545"/>
      <c r="Z338" s="545"/>
      <c r="AA338" s="545"/>
      <c r="AB338" s="545"/>
      <c r="AC338" s="545"/>
    </row>
    <row r="339" spans="1:29" ht="12.75" customHeight="1">
      <c r="A339" s="545"/>
      <c r="B339" s="545"/>
      <c r="C339" s="545"/>
      <c r="D339" s="545"/>
      <c r="E339" s="545"/>
      <c r="F339" s="545"/>
      <c r="H339" s="545"/>
      <c r="I339" s="545"/>
      <c r="J339" s="545"/>
      <c r="K339" s="545"/>
      <c r="L339" s="545"/>
      <c r="M339" s="545"/>
      <c r="N339" s="545"/>
      <c r="O339" s="545"/>
      <c r="P339" s="545"/>
      <c r="Q339" s="545"/>
      <c r="R339" s="545"/>
      <c r="S339" s="545"/>
      <c r="W339" s="545"/>
      <c r="X339" s="545"/>
      <c r="Y339" s="545"/>
      <c r="Z339" s="545"/>
      <c r="AA339" s="545"/>
      <c r="AB339" s="545"/>
      <c r="AC339" s="545"/>
    </row>
    <row r="340" spans="1:29" ht="12.75" customHeight="1">
      <c r="A340" s="545"/>
      <c r="B340" s="545"/>
      <c r="C340" s="545"/>
      <c r="D340" s="545"/>
      <c r="E340" s="545"/>
      <c r="F340" s="545"/>
      <c r="H340" s="545"/>
      <c r="I340" s="545"/>
      <c r="J340" s="545"/>
      <c r="K340" s="545"/>
      <c r="L340" s="545"/>
      <c r="M340" s="545"/>
      <c r="N340" s="545"/>
      <c r="O340" s="545"/>
      <c r="P340" s="545"/>
      <c r="Q340" s="545"/>
      <c r="R340" s="545"/>
      <c r="S340" s="545"/>
      <c r="W340" s="545"/>
      <c r="X340" s="545"/>
      <c r="Y340" s="545"/>
      <c r="Z340" s="545"/>
      <c r="AA340" s="545"/>
      <c r="AB340" s="545"/>
      <c r="AC340" s="545"/>
    </row>
    <row r="341" spans="1:29" ht="12.75" customHeight="1">
      <c r="A341" s="545"/>
      <c r="B341" s="545"/>
      <c r="C341" s="545"/>
      <c r="D341" s="545"/>
      <c r="E341" s="545"/>
      <c r="F341" s="545"/>
      <c r="H341" s="545"/>
      <c r="I341" s="545"/>
      <c r="J341" s="545"/>
      <c r="K341" s="545"/>
      <c r="L341" s="545"/>
      <c r="M341" s="545"/>
      <c r="N341" s="545"/>
      <c r="O341" s="545"/>
      <c r="P341" s="545"/>
      <c r="Q341" s="545"/>
      <c r="R341" s="545"/>
      <c r="S341" s="545"/>
      <c r="W341" s="545"/>
      <c r="X341" s="545"/>
      <c r="Y341" s="545"/>
      <c r="Z341" s="545"/>
      <c r="AA341" s="545"/>
      <c r="AB341" s="545"/>
      <c r="AC341" s="545"/>
    </row>
    <row r="342" spans="1:29" ht="12.75" customHeight="1">
      <c r="A342" s="545"/>
      <c r="B342" s="545"/>
      <c r="C342" s="545"/>
      <c r="D342" s="545"/>
      <c r="E342" s="545"/>
      <c r="F342" s="545"/>
      <c r="H342" s="545"/>
      <c r="I342" s="545"/>
      <c r="J342" s="545"/>
      <c r="K342" s="545"/>
      <c r="L342" s="545"/>
      <c r="M342" s="545"/>
      <c r="N342" s="545"/>
      <c r="O342" s="545"/>
      <c r="P342" s="545"/>
      <c r="Q342" s="545"/>
      <c r="R342" s="545"/>
      <c r="S342" s="545"/>
      <c r="W342" s="545"/>
      <c r="X342" s="545"/>
      <c r="Y342" s="545"/>
      <c r="Z342" s="545"/>
      <c r="AA342" s="545"/>
      <c r="AB342" s="545"/>
      <c r="AC342" s="545"/>
    </row>
    <row r="343" spans="1:29" ht="12.75" customHeight="1">
      <c r="A343" s="545"/>
      <c r="B343" s="545"/>
      <c r="C343" s="545"/>
      <c r="D343" s="545"/>
      <c r="E343" s="545"/>
      <c r="F343" s="545"/>
      <c r="H343" s="545"/>
      <c r="I343" s="545"/>
      <c r="J343" s="545"/>
      <c r="K343" s="545"/>
      <c r="L343" s="545"/>
      <c r="M343" s="545"/>
      <c r="N343" s="545"/>
      <c r="O343" s="545"/>
      <c r="P343" s="545"/>
      <c r="Q343" s="545"/>
      <c r="R343" s="545"/>
      <c r="S343" s="545"/>
      <c r="W343" s="545"/>
      <c r="X343" s="545"/>
      <c r="Y343" s="545"/>
      <c r="Z343" s="545"/>
      <c r="AA343" s="545"/>
      <c r="AB343" s="545"/>
      <c r="AC343" s="545"/>
    </row>
    <row r="344" spans="1:29" ht="12.75" customHeight="1">
      <c r="A344" s="545"/>
      <c r="B344" s="545"/>
      <c r="C344" s="545"/>
      <c r="D344" s="545"/>
      <c r="E344" s="545"/>
      <c r="F344" s="545"/>
      <c r="H344" s="545"/>
      <c r="I344" s="545"/>
      <c r="J344" s="545"/>
      <c r="K344" s="545"/>
      <c r="L344" s="545"/>
      <c r="M344" s="545"/>
      <c r="N344" s="545"/>
      <c r="O344" s="545"/>
      <c r="P344" s="545"/>
      <c r="Q344" s="545"/>
      <c r="R344" s="545"/>
      <c r="S344" s="545"/>
      <c r="W344" s="545"/>
      <c r="X344" s="545"/>
      <c r="Y344" s="545"/>
      <c r="Z344" s="545"/>
      <c r="AA344" s="545"/>
      <c r="AB344" s="545"/>
      <c r="AC344" s="545"/>
    </row>
    <row r="345" spans="1:29" ht="12.75" customHeight="1">
      <c r="A345" s="545"/>
      <c r="B345" s="545"/>
      <c r="C345" s="545"/>
      <c r="D345" s="545"/>
      <c r="E345" s="545"/>
      <c r="F345" s="545"/>
      <c r="H345" s="545"/>
      <c r="I345" s="545"/>
      <c r="J345" s="545"/>
      <c r="K345" s="545"/>
      <c r="L345" s="545"/>
      <c r="M345" s="545"/>
      <c r="N345" s="545"/>
      <c r="O345" s="545"/>
      <c r="P345" s="545"/>
      <c r="Q345" s="545"/>
      <c r="R345" s="545"/>
      <c r="S345" s="545"/>
      <c r="W345" s="545"/>
      <c r="X345" s="545"/>
      <c r="Y345" s="545"/>
      <c r="Z345" s="545"/>
      <c r="AA345" s="545"/>
      <c r="AB345" s="545"/>
      <c r="AC345" s="545"/>
    </row>
    <row r="346" spans="1:29" ht="12.75" customHeight="1">
      <c r="A346" s="545"/>
      <c r="B346" s="545"/>
      <c r="C346" s="545"/>
      <c r="D346" s="545"/>
      <c r="E346" s="545"/>
      <c r="F346" s="545"/>
      <c r="H346" s="545"/>
      <c r="I346" s="545"/>
      <c r="J346" s="545"/>
      <c r="K346" s="545"/>
      <c r="L346" s="545"/>
      <c r="M346" s="545"/>
      <c r="N346" s="545"/>
      <c r="O346" s="545"/>
      <c r="P346" s="545"/>
      <c r="Q346" s="545"/>
      <c r="R346" s="545"/>
      <c r="S346" s="545"/>
      <c r="W346" s="545"/>
      <c r="X346" s="545"/>
      <c r="Y346" s="545"/>
      <c r="Z346" s="545"/>
      <c r="AA346" s="545"/>
      <c r="AB346" s="545"/>
      <c r="AC346" s="545"/>
    </row>
    <row r="347" spans="1:29" ht="12.75" customHeight="1">
      <c r="A347" s="545"/>
      <c r="B347" s="545"/>
      <c r="C347" s="545"/>
      <c r="D347" s="545"/>
      <c r="E347" s="545"/>
      <c r="F347" s="545"/>
      <c r="H347" s="545"/>
      <c r="I347" s="545"/>
      <c r="J347" s="545"/>
      <c r="K347" s="545"/>
      <c r="L347" s="545"/>
      <c r="M347" s="545"/>
      <c r="N347" s="545"/>
      <c r="O347" s="545"/>
      <c r="P347" s="545"/>
      <c r="Q347" s="545"/>
      <c r="R347" s="545"/>
      <c r="S347" s="545"/>
      <c r="W347" s="545"/>
      <c r="X347" s="545"/>
      <c r="Y347" s="545"/>
      <c r="Z347" s="545"/>
      <c r="AA347" s="545"/>
      <c r="AB347" s="545"/>
      <c r="AC347" s="545"/>
    </row>
    <row r="348" spans="1:29" ht="12.75" customHeight="1">
      <c r="A348" s="545"/>
      <c r="B348" s="545"/>
      <c r="C348" s="545"/>
      <c r="D348" s="545"/>
      <c r="E348" s="545"/>
      <c r="F348" s="545"/>
      <c r="H348" s="545"/>
      <c r="I348" s="545"/>
      <c r="J348" s="545"/>
      <c r="K348" s="545"/>
      <c r="L348" s="545"/>
      <c r="M348" s="545"/>
      <c r="N348" s="545"/>
      <c r="O348" s="545"/>
      <c r="P348" s="545"/>
      <c r="Q348" s="545"/>
      <c r="R348" s="545"/>
      <c r="S348" s="545"/>
      <c r="W348" s="545"/>
      <c r="X348" s="545"/>
      <c r="Y348" s="545"/>
      <c r="Z348" s="545"/>
      <c r="AA348" s="545"/>
      <c r="AB348" s="545"/>
      <c r="AC348" s="545"/>
    </row>
    <row r="349" spans="1:29" ht="12.75" customHeight="1">
      <c r="A349" s="545"/>
      <c r="B349" s="545"/>
      <c r="C349" s="545"/>
      <c r="D349" s="545"/>
      <c r="E349" s="545"/>
      <c r="F349" s="545"/>
      <c r="H349" s="545"/>
      <c r="I349" s="545"/>
      <c r="J349" s="545"/>
      <c r="K349" s="545"/>
      <c r="L349" s="545"/>
      <c r="M349" s="545"/>
      <c r="N349" s="545"/>
      <c r="O349" s="545"/>
      <c r="P349" s="545"/>
      <c r="Q349" s="545"/>
      <c r="R349" s="545"/>
      <c r="S349" s="545"/>
      <c r="W349" s="545"/>
      <c r="X349" s="545"/>
      <c r="Y349" s="545"/>
      <c r="Z349" s="545"/>
      <c r="AA349" s="545"/>
      <c r="AB349" s="545"/>
      <c r="AC349" s="545"/>
    </row>
    <row r="350" spans="1:29" ht="12.75" customHeight="1">
      <c r="A350" s="545"/>
      <c r="B350" s="545"/>
      <c r="C350" s="545"/>
      <c r="D350" s="545"/>
      <c r="E350" s="545"/>
      <c r="F350" s="545"/>
      <c r="H350" s="545"/>
      <c r="I350" s="545"/>
      <c r="J350" s="545"/>
      <c r="K350" s="545"/>
      <c r="L350" s="545"/>
      <c r="M350" s="545"/>
      <c r="N350" s="545"/>
      <c r="O350" s="545"/>
      <c r="P350" s="545"/>
      <c r="Q350" s="545"/>
      <c r="R350" s="545"/>
      <c r="S350" s="545"/>
      <c r="W350" s="545"/>
      <c r="X350" s="545"/>
      <c r="Y350" s="545"/>
      <c r="Z350" s="545"/>
      <c r="AA350" s="545"/>
      <c r="AB350" s="545"/>
      <c r="AC350" s="545"/>
    </row>
    <row r="351" spans="1:29" ht="12.75" customHeight="1">
      <c r="A351" s="545"/>
      <c r="B351" s="545"/>
      <c r="C351" s="545"/>
      <c r="D351" s="545"/>
      <c r="E351" s="545"/>
      <c r="F351" s="545"/>
      <c r="H351" s="545"/>
      <c r="I351" s="545"/>
      <c r="J351" s="545"/>
      <c r="K351" s="545"/>
      <c r="L351" s="545"/>
      <c r="M351" s="545"/>
      <c r="N351" s="545"/>
      <c r="O351" s="545"/>
      <c r="P351" s="545"/>
      <c r="Q351" s="545"/>
      <c r="R351" s="545"/>
      <c r="S351" s="545"/>
      <c r="W351" s="545"/>
      <c r="X351" s="545"/>
      <c r="Y351" s="545"/>
      <c r="Z351" s="545"/>
      <c r="AA351" s="545"/>
      <c r="AB351" s="545"/>
      <c r="AC351" s="545"/>
    </row>
    <row r="352" spans="1:29" ht="12.75" customHeight="1">
      <c r="A352" s="545"/>
      <c r="B352" s="545"/>
      <c r="C352" s="545"/>
      <c r="D352" s="545"/>
      <c r="E352" s="545"/>
      <c r="F352" s="545"/>
      <c r="H352" s="545"/>
      <c r="I352" s="545"/>
      <c r="J352" s="545"/>
      <c r="K352" s="545"/>
      <c r="L352" s="545"/>
      <c r="M352" s="545"/>
      <c r="N352" s="545"/>
      <c r="O352" s="545"/>
      <c r="P352" s="545"/>
      <c r="Q352" s="545"/>
      <c r="R352" s="545"/>
      <c r="S352" s="545"/>
      <c r="W352" s="545"/>
      <c r="X352" s="545"/>
      <c r="Y352" s="545"/>
      <c r="Z352" s="545"/>
      <c r="AA352" s="545"/>
      <c r="AB352" s="545"/>
      <c r="AC352" s="545"/>
    </row>
    <row r="353" spans="1:29" ht="12.75" customHeight="1">
      <c r="A353" s="545"/>
      <c r="B353" s="545"/>
      <c r="C353" s="545"/>
      <c r="D353" s="545"/>
      <c r="E353" s="545"/>
      <c r="F353" s="545"/>
      <c r="H353" s="545"/>
      <c r="I353" s="545"/>
      <c r="J353" s="545"/>
      <c r="K353" s="545"/>
      <c r="L353" s="545"/>
      <c r="M353" s="545"/>
      <c r="N353" s="545"/>
      <c r="O353" s="545"/>
      <c r="P353" s="545"/>
      <c r="Q353" s="545"/>
      <c r="R353" s="545"/>
      <c r="S353" s="545"/>
      <c r="W353" s="545"/>
      <c r="X353" s="545"/>
      <c r="Y353" s="545"/>
      <c r="Z353" s="545"/>
      <c r="AA353" s="545"/>
      <c r="AB353" s="545"/>
      <c r="AC353" s="545"/>
    </row>
    <row r="354" spans="1:29" ht="12.75" customHeight="1">
      <c r="A354" s="545"/>
      <c r="B354" s="545"/>
      <c r="C354" s="545"/>
      <c r="D354" s="545"/>
      <c r="E354" s="545"/>
      <c r="F354" s="545"/>
      <c r="H354" s="545"/>
      <c r="I354" s="545"/>
      <c r="J354" s="545"/>
      <c r="K354" s="545"/>
      <c r="L354" s="545"/>
      <c r="M354" s="545"/>
      <c r="N354" s="545"/>
      <c r="O354" s="545"/>
      <c r="P354" s="545"/>
      <c r="Q354" s="545"/>
      <c r="R354" s="545"/>
      <c r="S354" s="545"/>
      <c r="W354" s="545"/>
      <c r="X354" s="545"/>
      <c r="Y354" s="545"/>
      <c r="Z354" s="545"/>
      <c r="AA354" s="545"/>
      <c r="AB354" s="545"/>
      <c r="AC354" s="545"/>
    </row>
    <row r="355" spans="1:29" ht="12.75" customHeight="1">
      <c r="A355" s="545"/>
      <c r="B355" s="545"/>
      <c r="C355" s="545"/>
      <c r="D355" s="545"/>
      <c r="E355" s="545"/>
      <c r="F355" s="545"/>
      <c r="H355" s="545"/>
      <c r="I355" s="545"/>
      <c r="J355" s="545"/>
      <c r="K355" s="545"/>
      <c r="L355" s="545"/>
      <c r="M355" s="545"/>
      <c r="N355" s="545"/>
      <c r="O355" s="545"/>
      <c r="P355" s="545"/>
      <c r="Q355" s="545"/>
      <c r="R355" s="545"/>
      <c r="S355" s="545"/>
      <c r="W355" s="545"/>
      <c r="X355" s="545"/>
      <c r="Y355" s="545"/>
      <c r="Z355" s="545"/>
      <c r="AA355" s="545"/>
      <c r="AB355" s="545"/>
      <c r="AC355" s="545"/>
    </row>
    <row r="356" spans="1:29" ht="12.75" customHeight="1">
      <c r="A356" s="545"/>
      <c r="B356" s="545"/>
      <c r="C356" s="545"/>
      <c r="D356" s="545"/>
      <c r="E356" s="545"/>
      <c r="F356" s="545"/>
      <c r="H356" s="545"/>
      <c r="I356" s="545"/>
      <c r="J356" s="545"/>
      <c r="K356" s="545"/>
      <c r="L356" s="545"/>
      <c r="M356" s="545"/>
      <c r="N356" s="545"/>
      <c r="O356" s="545"/>
      <c r="P356" s="545"/>
      <c r="Q356" s="545"/>
      <c r="R356" s="545"/>
      <c r="S356" s="545"/>
      <c r="W356" s="545"/>
      <c r="X356" s="545"/>
      <c r="Y356" s="545"/>
      <c r="Z356" s="545"/>
      <c r="AA356" s="545"/>
      <c r="AB356" s="545"/>
      <c r="AC356" s="545"/>
    </row>
    <row r="357" spans="1:29" ht="12.75" customHeight="1">
      <c r="A357" s="545"/>
      <c r="B357" s="545"/>
      <c r="C357" s="545"/>
      <c r="D357" s="545"/>
      <c r="E357" s="545"/>
      <c r="F357" s="545"/>
      <c r="H357" s="545"/>
      <c r="I357" s="545"/>
      <c r="J357" s="545"/>
      <c r="K357" s="545"/>
      <c r="L357" s="545"/>
      <c r="M357" s="545"/>
      <c r="N357" s="545"/>
      <c r="O357" s="545"/>
      <c r="P357" s="545"/>
      <c r="Q357" s="545"/>
      <c r="R357" s="545"/>
      <c r="S357" s="545"/>
      <c r="W357" s="545"/>
      <c r="X357" s="545"/>
      <c r="Y357" s="545"/>
      <c r="Z357" s="545"/>
      <c r="AA357" s="545"/>
      <c r="AB357" s="545"/>
      <c r="AC357" s="545"/>
    </row>
    <row r="358" spans="1:29" ht="12.75" customHeight="1">
      <c r="A358" s="545"/>
      <c r="B358" s="545"/>
      <c r="C358" s="545"/>
      <c r="D358" s="545"/>
      <c r="E358" s="545"/>
      <c r="F358" s="545"/>
      <c r="H358" s="545"/>
      <c r="I358" s="545"/>
      <c r="J358" s="545"/>
      <c r="K358" s="545"/>
      <c r="L358" s="545"/>
      <c r="M358" s="545"/>
      <c r="N358" s="545"/>
      <c r="O358" s="545"/>
      <c r="P358" s="545"/>
      <c r="Q358" s="545"/>
      <c r="R358" s="545"/>
      <c r="S358" s="545"/>
      <c r="W358" s="545"/>
      <c r="X358" s="545"/>
      <c r="Y358" s="545"/>
      <c r="Z358" s="545"/>
      <c r="AA358" s="545"/>
      <c r="AB358" s="545"/>
      <c r="AC358" s="545"/>
    </row>
    <row r="359" spans="1:29" ht="12.75" customHeight="1">
      <c r="A359" s="545"/>
      <c r="B359" s="545"/>
      <c r="C359" s="545"/>
      <c r="D359" s="545"/>
      <c r="E359" s="545"/>
      <c r="F359" s="545"/>
      <c r="H359" s="545"/>
      <c r="I359" s="545"/>
      <c r="J359" s="545"/>
      <c r="K359" s="545"/>
      <c r="L359" s="545"/>
      <c r="M359" s="545"/>
      <c r="N359" s="545"/>
      <c r="O359" s="545"/>
      <c r="P359" s="545"/>
      <c r="Q359" s="545"/>
      <c r="R359" s="545"/>
      <c r="S359" s="545"/>
      <c r="W359" s="545"/>
      <c r="X359" s="545"/>
      <c r="Y359" s="545"/>
      <c r="Z359" s="545"/>
      <c r="AA359" s="545"/>
      <c r="AB359" s="545"/>
      <c r="AC359" s="545"/>
    </row>
    <row r="360" spans="1:29" ht="12.75" customHeight="1">
      <c r="A360" s="545"/>
      <c r="B360" s="545"/>
      <c r="C360" s="545"/>
      <c r="D360" s="545"/>
      <c r="E360" s="545"/>
      <c r="F360" s="545"/>
      <c r="H360" s="545"/>
      <c r="I360" s="545"/>
      <c r="J360" s="545"/>
      <c r="K360" s="545"/>
      <c r="L360" s="545"/>
      <c r="M360" s="545"/>
      <c r="N360" s="545"/>
      <c r="O360" s="545"/>
      <c r="P360" s="545"/>
      <c r="Q360" s="545"/>
      <c r="R360" s="545"/>
      <c r="S360" s="545"/>
      <c r="W360" s="545"/>
      <c r="X360" s="545"/>
      <c r="Y360" s="545"/>
      <c r="Z360" s="545"/>
      <c r="AA360" s="545"/>
      <c r="AB360" s="545"/>
      <c r="AC360" s="545"/>
    </row>
    <row r="361" spans="1:29" ht="12.75" customHeight="1">
      <c r="A361" s="545"/>
      <c r="B361" s="545"/>
      <c r="C361" s="545"/>
      <c r="D361" s="545"/>
      <c r="E361" s="545"/>
      <c r="F361" s="545"/>
      <c r="H361" s="545"/>
      <c r="I361" s="545"/>
      <c r="J361" s="545"/>
      <c r="K361" s="545"/>
      <c r="L361" s="545"/>
      <c r="M361" s="545"/>
      <c r="N361" s="545"/>
      <c r="O361" s="545"/>
      <c r="P361" s="545"/>
      <c r="Q361" s="545"/>
      <c r="R361" s="545"/>
      <c r="S361" s="545"/>
      <c r="W361" s="545"/>
      <c r="X361" s="545"/>
      <c r="Y361" s="545"/>
      <c r="Z361" s="545"/>
      <c r="AA361" s="545"/>
      <c r="AB361" s="545"/>
      <c r="AC361" s="545"/>
    </row>
    <row r="362" spans="1:29" ht="12.75" customHeight="1">
      <c r="A362" s="545"/>
      <c r="B362" s="545"/>
      <c r="C362" s="545"/>
      <c r="D362" s="545"/>
      <c r="E362" s="545"/>
      <c r="F362" s="545"/>
      <c r="H362" s="545"/>
      <c r="I362" s="545"/>
      <c r="J362" s="545"/>
      <c r="K362" s="545"/>
      <c r="L362" s="545"/>
      <c r="M362" s="545"/>
      <c r="N362" s="545"/>
      <c r="O362" s="545"/>
      <c r="P362" s="545"/>
      <c r="Q362" s="545"/>
      <c r="R362" s="545"/>
      <c r="S362" s="545"/>
      <c r="W362" s="545"/>
      <c r="X362" s="545"/>
      <c r="Y362" s="545"/>
      <c r="Z362" s="545"/>
      <c r="AA362" s="545"/>
      <c r="AB362" s="545"/>
      <c r="AC362" s="545"/>
    </row>
    <row r="363" spans="1:29" ht="12.75" customHeight="1">
      <c r="A363" s="545"/>
      <c r="B363" s="545"/>
      <c r="C363" s="545"/>
      <c r="D363" s="545"/>
      <c r="E363" s="545"/>
      <c r="F363" s="545"/>
      <c r="H363" s="545"/>
      <c r="I363" s="545"/>
      <c r="J363" s="545"/>
      <c r="K363" s="545"/>
      <c r="L363" s="545"/>
      <c r="M363" s="545"/>
      <c r="N363" s="545"/>
      <c r="O363" s="545"/>
      <c r="P363" s="545"/>
      <c r="Q363" s="545"/>
      <c r="R363" s="545"/>
      <c r="S363" s="545"/>
      <c r="W363" s="545"/>
      <c r="X363" s="545"/>
      <c r="Y363" s="545"/>
      <c r="Z363" s="545"/>
      <c r="AA363" s="545"/>
      <c r="AB363" s="545"/>
      <c r="AC363" s="545"/>
    </row>
    <row r="364" spans="1:29" ht="12.75" customHeight="1">
      <c r="A364" s="545"/>
      <c r="B364" s="545"/>
      <c r="C364" s="545"/>
      <c r="D364" s="545"/>
      <c r="E364" s="545"/>
      <c r="F364" s="545"/>
      <c r="H364" s="545"/>
      <c r="I364" s="545"/>
      <c r="J364" s="545"/>
      <c r="K364" s="545"/>
      <c r="L364" s="545"/>
      <c r="M364" s="545"/>
      <c r="N364" s="545"/>
      <c r="O364" s="545"/>
      <c r="P364" s="545"/>
      <c r="Q364" s="545"/>
      <c r="R364" s="545"/>
      <c r="S364" s="545"/>
      <c r="W364" s="545"/>
      <c r="X364" s="545"/>
      <c r="Y364" s="545"/>
      <c r="Z364" s="545"/>
      <c r="AA364" s="545"/>
      <c r="AB364" s="545"/>
      <c r="AC364" s="545"/>
    </row>
    <row r="365" spans="1:29" ht="12.75" customHeight="1">
      <c r="A365" s="545"/>
      <c r="B365" s="545"/>
      <c r="C365" s="545"/>
      <c r="D365" s="545"/>
      <c r="E365" s="545"/>
      <c r="F365" s="545"/>
      <c r="H365" s="545"/>
      <c r="I365" s="545"/>
      <c r="J365" s="545"/>
      <c r="K365" s="545"/>
      <c r="L365" s="545"/>
      <c r="M365" s="545"/>
      <c r="N365" s="545"/>
      <c r="O365" s="545"/>
      <c r="P365" s="545"/>
      <c r="Q365" s="545"/>
      <c r="R365" s="545"/>
      <c r="S365" s="545"/>
      <c r="W365" s="545"/>
      <c r="X365" s="545"/>
      <c r="Y365" s="545"/>
      <c r="Z365" s="545"/>
      <c r="AA365" s="545"/>
      <c r="AB365" s="545"/>
      <c r="AC365" s="545"/>
    </row>
    <row r="366" spans="1:29" ht="12.75" customHeight="1">
      <c r="A366" s="545"/>
      <c r="B366" s="545"/>
      <c r="C366" s="545"/>
      <c r="D366" s="545"/>
      <c r="E366" s="545"/>
      <c r="F366" s="545"/>
      <c r="H366" s="545"/>
      <c r="I366" s="545"/>
      <c r="J366" s="545"/>
      <c r="K366" s="545"/>
      <c r="L366" s="545"/>
      <c r="M366" s="545"/>
      <c r="N366" s="545"/>
      <c r="O366" s="545"/>
      <c r="P366" s="545"/>
      <c r="Q366" s="545"/>
      <c r="R366" s="545"/>
      <c r="S366" s="545"/>
      <c r="W366" s="545"/>
      <c r="X366" s="545"/>
      <c r="Y366" s="545"/>
      <c r="Z366" s="545"/>
      <c r="AA366" s="545"/>
      <c r="AB366" s="545"/>
      <c r="AC366" s="545"/>
    </row>
    <row r="367" spans="1:29" ht="12.75" customHeight="1">
      <c r="A367" s="545"/>
      <c r="B367" s="545"/>
      <c r="C367" s="545"/>
      <c r="D367" s="545"/>
      <c r="E367" s="545"/>
      <c r="F367" s="545"/>
      <c r="H367" s="545"/>
      <c r="I367" s="545"/>
      <c r="J367" s="545"/>
      <c r="K367" s="545"/>
      <c r="L367" s="545"/>
      <c r="M367" s="545"/>
      <c r="N367" s="545"/>
      <c r="O367" s="545"/>
      <c r="P367" s="545"/>
      <c r="Q367" s="545"/>
      <c r="R367" s="545"/>
      <c r="S367" s="545"/>
      <c r="W367" s="545"/>
      <c r="X367" s="545"/>
      <c r="Y367" s="545"/>
      <c r="Z367" s="545"/>
      <c r="AA367" s="545"/>
      <c r="AB367" s="545"/>
      <c r="AC367" s="545"/>
    </row>
    <row r="368" spans="1:29" ht="12.75" customHeight="1">
      <c r="A368" s="545"/>
      <c r="B368" s="545"/>
      <c r="C368" s="545"/>
      <c r="D368" s="545"/>
      <c r="E368" s="545"/>
      <c r="F368" s="545"/>
      <c r="H368" s="545"/>
      <c r="I368" s="545"/>
      <c r="J368" s="545"/>
      <c r="K368" s="545"/>
      <c r="L368" s="545"/>
      <c r="M368" s="545"/>
      <c r="N368" s="545"/>
      <c r="O368" s="545"/>
      <c r="P368" s="545"/>
      <c r="Q368" s="545"/>
      <c r="R368" s="545"/>
      <c r="S368" s="545"/>
      <c r="W368" s="545"/>
      <c r="X368" s="545"/>
      <c r="Y368" s="545"/>
      <c r="Z368" s="545"/>
      <c r="AA368" s="545"/>
      <c r="AB368" s="545"/>
      <c r="AC368" s="545"/>
    </row>
    <row r="369" spans="1:29" ht="12.75" customHeight="1">
      <c r="A369" s="545"/>
      <c r="B369" s="545"/>
      <c r="C369" s="545"/>
      <c r="D369" s="545"/>
      <c r="E369" s="545"/>
      <c r="F369" s="545"/>
      <c r="H369" s="545"/>
      <c r="I369" s="545"/>
      <c r="J369" s="545"/>
      <c r="K369" s="545"/>
      <c r="L369" s="545"/>
      <c r="M369" s="545"/>
      <c r="N369" s="545"/>
      <c r="O369" s="545"/>
      <c r="P369" s="545"/>
      <c r="Q369" s="545"/>
      <c r="R369" s="545"/>
      <c r="S369" s="545"/>
      <c r="W369" s="545"/>
      <c r="X369" s="545"/>
      <c r="Y369" s="545"/>
      <c r="Z369" s="545"/>
      <c r="AA369" s="545"/>
      <c r="AB369" s="545"/>
      <c r="AC369" s="545"/>
    </row>
    <row r="370" spans="1:29" ht="12.75" customHeight="1">
      <c r="A370" s="545"/>
      <c r="B370" s="545"/>
      <c r="C370" s="545"/>
      <c r="D370" s="545"/>
      <c r="E370" s="545"/>
      <c r="F370" s="545"/>
      <c r="H370" s="545"/>
      <c r="I370" s="545"/>
      <c r="J370" s="545"/>
      <c r="K370" s="545"/>
      <c r="L370" s="545"/>
      <c r="M370" s="545"/>
      <c r="N370" s="545"/>
      <c r="O370" s="545"/>
      <c r="P370" s="545"/>
      <c r="Q370" s="545"/>
      <c r="R370" s="545"/>
      <c r="S370" s="545"/>
      <c r="W370" s="545"/>
      <c r="X370" s="545"/>
      <c r="Y370" s="545"/>
      <c r="Z370" s="545"/>
      <c r="AA370" s="545"/>
      <c r="AB370" s="545"/>
      <c r="AC370" s="545"/>
    </row>
    <row r="371" spans="1:29" ht="12.75" customHeight="1">
      <c r="A371" s="545"/>
      <c r="B371" s="545"/>
      <c r="C371" s="545"/>
      <c r="D371" s="545"/>
      <c r="E371" s="545"/>
      <c r="F371" s="545"/>
      <c r="H371" s="545"/>
      <c r="I371" s="545"/>
      <c r="J371" s="545"/>
      <c r="K371" s="545"/>
      <c r="L371" s="545"/>
      <c r="M371" s="545"/>
      <c r="N371" s="545"/>
      <c r="O371" s="545"/>
      <c r="P371" s="545"/>
      <c r="Q371" s="545"/>
      <c r="R371" s="545"/>
      <c r="S371" s="545"/>
      <c r="W371" s="545"/>
      <c r="X371" s="545"/>
      <c r="Y371" s="545"/>
      <c r="Z371" s="545"/>
      <c r="AA371" s="545"/>
      <c r="AB371" s="545"/>
      <c r="AC371" s="545"/>
    </row>
    <row r="372" spans="1:29" ht="12.75" customHeight="1">
      <c r="A372" s="545"/>
      <c r="B372" s="545"/>
      <c r="C372" s="545"/>
      <c r="D372" s="545"/>
      <c r="E372" s="545"/>
      <c r="F372" s="545"/>
      <c r="H372" s="545"/>
      <c r="I372" s="545"/>
      <c r="J372" s="545"/>
      <c r="K372" s="545"/>
      <c r="L372" s="545"/>
      <c r="M372" s="545"/>
      <c r="N372" s="545"/>
      <c r="O372" s="545"/>
      <c r="P372" s="545"/>
      <c r="Q372" s="545"/>
      <c r="R372" s="545"/>
      <c r="S372" s="545"/>
      <c r="W372" s="545"/>
      <c r="X372" s="545"/>
      <c r="Y372" s="545"/>
      <c r="Z372" s="545"/>
      <c r="AA372" s="545"/>
      <c r="AB372" s="545"/>
      <c r="AC372" s="545"/>
    </row>
    <row r="373" spans="1:29" ht="12.75" customHeight="1">
      <c r="A373" s="545"/>
      <c r="B373" s="545"/>
      <c r="C373" s="545"/>
      <c r="D373" s="545"/>
      <c r="E373" s="545"/>
      <c r="F373" s="545"/>
      <c r="H373" s="545"/>
      <c r="I373" s="545"/>
      <c r="J373" s="545"/>
      <c r="K373" s="545"/>
      <c r="L373" s="545"/>
      <c r="M373" s="545"/>
      <c r="N373" s="545"/>
      <c r="O373" s="545"/>
      <c r="P373" s="545"/>
      <c r="Q373" s="545"/>
      <c r="R373" s="545"/>
      <c r="S373" s="545"/>
      <c r="W373" s="545"/>
      <c r="X373" s="545"/>
      <c r="Y373" s="545"/>
      <c r="Z373" s="545"/>
      <c r="AA373" s="545"/>
      <c r="AB373" s="545"/>
      <c r="AC373" s="545"/>
    </row>
    <row r="374" spans="1:29" ht="12.75" customHeight="1">
      <c r="A374" s="545"/>
      <c r="B374" s="545"/>
      <c r="C374" s="545"/>
      <c r="D374" s="545"/>
      <c r="E374" s="545"/>
      <c r="F374" s="545"/>
      <c r="H374" s="545"/>
      <c r="I374" s="545"/>
      <c r="J374" s="545"/>
      <c r="K374" s="545"/>
      <c r="L374" s="545"/>
      <c r="M374" s="545"/>
      <c r="N374" s="545"/>
      <c r="O374" s="545"/>
      <c r="P374" s="545"/>
      <c r="Q374" s="545"/>
      <c r="R374" s="545"/>
      <c r="S374" s="545"/>
      <c r="W374" s="545"/>
      <c r="X374" s="545"/>
      <c r="Y374" s="545"/>
      <c r="Z374" s="545"/>
      <c r="AA374" s="545"/>
      <c r="AB374" s="545"/>
      <c r="AC374" s="545"/>
    </row>
    <row r="375" spans="1:29" ht="12.75" customHeight="1">
      <c r="A375" s="545"/>
      <c r="B375" s="545"/>
      <c r="C375" s="545"/>
      <c r="D375" s="545"/>
      <c r="E375" s="545"/>
      <c r="F375" s="545"/>
      <c r="H375" s="545"/>
      <c r="I375" s="545"/>
      <c r="J375" s="545"/>
      <c r="K375" s="545"/>
      <c r="L375" s="545"/>
      <c r="M375" s="545"/>
      <c r="N375" s="545"/>
      <c r="O375" s="545"/>
      <c r="P375" s="545"/>
      <c r="Q375" s="545"/>
      <c r="R375" s="545"/>
      <c r="S375" s="545"/>
      <c r="W375" s="545"/>
      <c r="X375" s="545"/>
      <c r="Y375" s="545"/>
      <c r="Z375" s="545"/>
      <c r="AA375" s="545"/>
      <c r="AB375" s="545"/>
      <c r="AC375" s="545"/>
    </row>
    <row r="376" spans="1:29" ht="12.75" customHeight="1">
      <c r="A376" s="545"/>
      <c r="B376" s="545"/>
      <c r="C376" s="545"/>
      <c r="D376" s="545"/>
      <c r="E376" s="545"/>
      <c r="F376" s="545"/>
      <c r="H376" s="545"/>
      <c r="I376" s="545"/>
      <c r="J376" s="545"/>
      <c r="K376" s="545"/>
      <c r="L376" s="545"/>
      <c r="M376" s="545"/>
      <c r="N376" s="545"/>
      <c r="O376" s="545"/>
      <c r="P376" s="545"/>
      <c r="Q376" s="545"/>
      <c r="R376" s="545"/>
      <c r="S376" s="545"/>
      <c r="W376" s="545"/>
      <c r="X376" s="545"/>
      <c r="Y376" s="545"/>
      <c r="Z376" s="545"/>
      <c r="AA376" s="545"/>
      <c r="AB376" s="545"/>
      <c r="AC376" s="545"/>
    </row>
    <row r="377" spans="1:29" ht="12.75" customHeight="1">
      <c r="A377" s="545"/>
      <c r="B377" s="545"/>
      <c r="C377" s="545"/>
      <c r="D377" s="545"/>
      <c r="E377" s="545"/>
      <c r="F377" s="545"/>
      <c r="H377" s="545"/>
      <c r="I377" s="545"/>
      <c r="J377" s="545"/>
      <c r="K377" s="545"/>
      <c r="L377" s="545"/>
      <c r="M377" s="545"/>
      <c r="N377" s="545"/>
      <c r="O377" s="545"/>
      <c r="P377" s="545"/>
      <c r="Q377" s="545"/>
      <c r="R377" s="545"/>
      <c r="S377" s="545"/>
      <c r="W377" s="545"/>
      <c r="X377" s="545"/>
      <c r="Y377" s="545"/>
      <c r="Z377" s="545"/>
      <c r="AA377" s="545"/>
      <c r="AB377" s="545"/>
      <c r="AC377" s="545"/>
    </row>
    <row r="378" spans="1:29" ht="12.75" customHeight="1">
      <c r="A378" s="545"/>
      <c r="B378" s="545"/>
      <c r="C378" s="545"/>
      <c r="D378" s="545"/>
      <c r="E378" s="545"/>
      <c r="F378" s="545"/>
      <c r="H378" s="545"/>
      <c r="I378" s="545"/>
      <c r="J378" s="545"/>
      <c r="K378" s="545"/>
      <c r="L378" s="545"/>
      <c r="M378" s="545"/>
      <c r="N378" s="545"/>
      <c r="O378" s="545"/>
      <c r="P378" s="545"/>
      <c r="Q378" s="545"/>
      <c r="R378" s="545"/>
      <c r="S378" s="545"/>
      <c r="W378" s="545"/>
      <c r="X378" s="545"/>
      <c r="Y378" s="545"/>
      <c r="Z378" s="545"/>
      <c r="AA378" s="545"/>
      <c r="AB378" s="545"/>
      <c r="AC378" s="545"/>
    </row>
    <row r="379" spans="1:29" ht="12.75" customHeight="1">
      <c r="A379" s="545"/>
      <c r="B379" s="545"/>
      <c r="C379" s="545"/>
      <c r="D379" s="545"/>
      <c r="E379" s="545"/>
      <c r="F379" s="545"/>
      <c r="H379" s="545"/>
      <c r="I379" s="545"/>
      <c r="J379" s="545"/>
      <c r="K379" s="545"/>
      <c r="L379" s="545"/>
      <c r="M379" s="545"/>
      <c r="N379" s="545"/>
      <c r="O379" s="545"/>
      <c r="P379" s="545"/>
      <c r="Q379" s="545"/>
      <c r="R379" s="545"/>
      <c r="S379" s="545"/>
      <c r="W379" s="545"/>
      <c r="X379" s="545"/>
      <c r="Y379" s="545"/>
      <c r="Z379" s="545"/>
      <c r="AA379" s="545"/>
      <c r="AB379" s="545"/>
      <c r="AC379" s="545"/>
    </row>
    <row r="380" spans="1:29" ht="12.75" customHeight="1">
      <c r="A380" s="545"/>
      <c r="B380" s="545"/>
      <c r="C380" s="545"/>
      <c r="D380" s="545"/>
      <c r="E380" s="545"/>
      <c r="F380" s="545"/>
      <c r="H380" s="545"/>
      <c r="I380" s="545"/>
      <c r="J380" s="545"/>
      <c r="K380" s="545"/>
      <c r="L380" s="545"/>
      <c r="M380" s="545"/>
      <c r="N380" s="545"/>
      <c r="O380" s="545"/>
      <c r="P380" s="545"/>
      <c r="Q380" s="545"/>
      <c r="R380" s="545"/>
      <c r="S380" s="545"/>
      <c r="W380" s="545"/>
      <c r="X380" s="545"/>
      <c r="Y380" s="545"/>
      <c r="Z380" s="545"/>
      <c r="AA380" s="545"/>
      <c r="AB380" s="545"/>
      <c r="AC380" s="545"/>
    </row>
    <row r="381" spans="1:29" ht="12.75" customHeight="1">
      <c r="A381" s="545"/>
      <c r="B381" s="545"/>
      <c r="C381" s="545"/>
      <c r="D381" s="545"/>
      <c r="E381" s="545"/>
      <c r="F381" s="545"/>
      <c r="H381" s="545"/>
      <c r="I381" s="545"/>
      <c r="J381" s="545"/>
      <c r="K381" s="545"/>
      <c r="L381" s="545"/>
      <c r="M381" s="545"/>
      <c r="N381" s="545"/>
      <c r="O381" s="545"/>
      <c r="P381" s="545"/>
      <c r="Q381" s="545"/>
      <c r="R381" s="545"/>
      <c r="S381" s="545"/>
      <c r="W381" s="545"/>
      <c r="X381" s="545"/>
      <c r="Y381" s="545"/>
      <c r="Z381" s="545"/>
      <c r="AA381" s="545"/>
      <c r="AB381" s="545"/>
      <c r="AC381" s="545"/>
    </row>
    <row r="382" spans="1:29" ht="12.75" customHeight="1">
      <c r="A382" s="545"/>
      <c r="B382" s="545"/>
      <c r="C382" s="545"/>
      <c r="D382" s="545"/>
      <c r="E382" s="545"/>
      <c r="F382" s="545"/>
      <c r="H382" s="545"/>
      <c r="I382" s="545"/>
      <c r="J382" s="545"/>
      <c r="K382" s="545"/>
      <c r="L382" s="545"/>
      <c r="M382" s="545"/>
      <c r="N382" s="545"/>
      <c r="O382" s="545"/>
      <c r="P382" s="545"/>
      <c r="Q382" s="545"/>
      <c r="R382" s="545"/>
      <c r="S382" s="545"/>
      <c r="W382" s="545"/>
      <c r="X382" s="545"/>
      <c r="Y382" s="545"/>
      <c r="Z382" s="545"/>
      <c r="AA382" s="545"/>
      <c r="AB382" s="545"/>
      <c r="AC382" s="545"/>
    </row>
    <row r="383" spans="1:29" ht="12.75" customHeight="1">
      <c r="A383" s="545"/>
      <c r="B383" s="545"/>
      <c r="C383" s="545"/>
      <c r="D383" s="545"/>
      <c r="E383" s="545"/>
      <c r="F383" s="545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W383" s="545"/>
      <c r="X383" s="545"/>
      <c r="Y383" s="545"/>
      <c r="Z383" s="545"/>
      <c r="AA383" s="545"/>
      <c r="AB383" s="545"/>
      <c r="AC383" s="545"/>
    </row>
    <row r="384" spans="1:29" ht="12.75" customHeight="1">
      <c r="A384" s="545"/>
      <c r="B384" s="545"/>
      <c r="C384" s="545"/>
      <c r="D384" s="545"/>
      <c r="E384" s="545"/>
      <c r="F384" s="545"/>
      <c r="H384" s="545"/>
      <c r="I384" s="545"/>
      <c r="J384" s="545"/>
      <c r="K384" s="545"/>
      <c r="L384" s="545"/>
      <c r="M384" s="545"/>
      <c r="N384" s="545"/>
      <c r="O384" s="545"/>
      <c r="P384" s="545"/>
      <c r="Q384" s="545"/>
      <c r="R384" s="545"/>
      <c r="S384" s="545"/>
      <c r="W384" s="545"/>
      <c r="X384" s="545"/>
      <c r="Y384" s="545"/>
      <c r="Z384" s="545"/>
      <c r="AA384" s="545"/>
      <c r="AB384" s="545"/>
      <c r="AC384" s="545"/>
    </row>
    <row r="385" spans="1:29" ht="12.75" customHeight="1">
      <c r="A385" s="545"/>
      <c r="B385" s="545"/>
      <c r="C385" s="545"/>
      <c r="D385" s="545"/>
      <c r="E385" s="545"/>
      <c r="F385" s="545"/>
      <c r="H385" s="545"/>
      <c r="I385" s="545"/>
      <c r="J385" s="545"/>
      <c r="K385" s="545"/>
      <c r="L385" s="545"/>
      <c r="M385" s="545"/>
      <c r="N385" s="545"/>
      <c r="O385" s="545"/>
      <c r="P385" s="545"/>
      <c r="Q385" s="545"/>
      <c r="R385" s="545"/>
      <c r="S385" s="545"/>
      <c r="W385" s="545"/>
      <c r="X385" s="545"/>
      <c r="Y385" s="545"/>
      <c r="Z385" s="545"/>
      <c r="AA385" s="545"/>
      <c r="AB385" s="545"/>
      <c r="AC385" s="545"/>
    </row>
    <row r="386" spans="1:29" ht="12.75" customHeight="1">
      <c r="A386" s="545"/>
      <c r="B386" s="545"/>
      <c r="C386" s="545"/>
      <c r="D386" s="545"/>
      <c r="E386" s="545"/>
      <c r="F386" s="545"/>
      <c r="H386" s="545"/>
      <c r="I386" s="545"/>
      <c r="J386" s="545"/>
      <c r="K386" s="545"/>
      <c r="L386" s="545"/>
      <c r="M386" s="545"/>
      <c r="N386" s="545"/>
      <c r="O386" s="545"/>
      <c r="P386" s="545"/>
      <c r="Q386" s="545"/>
      <c r="R386" s="545"/>
      <c r="S386" s="545"/>
      <c r="W386" s="545"/>
      <c r="X386" s="545"/>
      <c r="Y386" s="545"/>
      <c r="Z386" s="545"/>
      <c r="AA386" s="545"/>
      <c r="AB386" s="545"/>
      <c r="AC386" s="545"/>
    </row>
    <row r="387" spans="1:29" ht="12.75" customHeight="1">
      <c r="A387" s="545"/>
      <c r="B387" s="545"/>
      <c r="C387" s="545"/>
      <c r="D387" s="545"/>
      <c r="E387" s="545"/>
      <c r="F387" s="545"/>
      <c r="H387" s="545"/>
      <c r="I387" s="545"/>
      <c r="J387" s="545"/>
      <c r="K387" s="545"/>
      <c r="L387" s="545"/>
      <c r="M387" s="545"/>
      <c r="N387" s="545"/>
      <c r="O387" s="545"/>
      <c r="P387" s="545"/>
      <c r="Q387" s="545"/>
      <c r="R387" s="545"/>
      <c r="S387" s="545"/>
      <c r="W387" s="545"/>
      <c r="X387" s="545"/>
      <c r="Y387" s="545"/>
      <c r="Z387" s="545"/>
      <c r="AA387" s="545"/>
      <c r="AB387" s="545"/>
      <c r="AC387" s="545"/>
    </row>
    <row r="388" spans="1:29" ht="12.75" customHeight="1">
      <c r="A388" s="545"/>
      <c r="B388" s="545"/>
      <c r="C388" s="545"/>
      <c r="D388" s="545"/>
      <c r="E388" s="545"/>
      <c r="F388" s="545"/>
      <c r="H388" s="545"/>
      <c r="I388" s="545"/>
      <c r="J388" s="545"/>
      <c r="K388" s="545"/>
      <c r="L388" s="545"/>
      <c r="M388" s="545"/>
      <c r="N388" s="545"/>
      <c r="O388" s="545"/>
      <c r="P388" s="545"/>
      <c r="Q388" s="545"/>
      <c r="R388" s="545"/>
      <c r="S388" s="545"/>
      <c r="W388" s="545"/>
      <c r="X388" s="545"/>
      <c r="Y388" s="545"/>
      <c r="Z388" s="545"/>
      <c r="AA388" s="545"/>
      <c r="AB388" s="545"/>
      <c r="AC388" s="545"/>
    </row>
    <row r="389" spans="1:29" ht="12.75" customHeight="1">
      <c r="A389" s="545"/>
      <c r="B389" s="545"/>
      <c r="C389" s="545"/>
      <c r="D389" s="545"/>
      <c r="E389" s="545"/>
      <c r="F389" s="545"/>
      <c r="H389" s="545"/>
      <c r="I389" s="545"/>
      <c r="J389" s="545"/>
      <c r="K389" s="545"/>
      <c r="L389" s="545"/>
      <c r="M389" s="545"/>
      <c r="N389" s="545"/>
      <c r="O389" s="545"/>
      <c r="P389" s="545"/>
      <c r="Q389" s="545"/>
      <c r="R389" s="545"/>
      <c r="S389" s="545"/>
      <c r="W389" s="545"/>
      <c r="X389" s="545"/>
      <c r="Y389" s="545"/>
      <c r="Z389" s="545"/>
      <c r="AA389" s="545"/>
      <c r="AB389" s="545"/>
      <c r="AC389" s="545"/>
    </row>
    <row r="390" spans="1:29" ht="12.75" customHeight="1">
      <c r="A390" s="545"/>
      <c r="B390" s="545"/>
      <c r="C390" s="545"/>
      <c r="D390" s="545"/>
      <c r="E390" s="545"/>
      <c r="F390" s="545"/>
      <c r="H390" s="545"/>
      <c r="I390" s="545"/>
      <c r="J390" s="545"/>
      <c r="K390" s="545"/>
      <c r="L390" s="545"/>
      <c r="M390" s="545"/>
      <c r="N390" s="545"/>
      <c r="O390" s="545"/>
      <c r="P390" s="545"/>
      <c r="Q390" s="545"/>
      <c r="R390" s="545"/>
      <c r="S390" s="545"/>
      <c r="W390" s="545"/>
      <c r="X390" s="545"/>
      <c r="Y390" s="545"/>
      <c r="Z390" s="545"/>
      <c r="AA390" s="545"/>
      <c r="AB390" s="545"/>
      <c r="AC390" s="545"/>
    </row>
    <row r="391" spans="1:29" ht="12.75" customHeight="1">
      <c r="A391" s="545"/>
      <c r="B391" s="545"/>
      <c r="C391" s="545"/>
      <c r="D391" s="545"/>
      <c r="E391" s="545"/>
      <c r="F391" s="545"/>
      <c r="H391" s="545"/>
      <c r="I391" s="545"/>
      <c r="J391" s="545"/>
      <c r="K391" s="545"/>
      <c r="L391" s="545"/>
      <c r="M391" s="545"/>
      <c r="N391" s="545"/>
      <c r="O391" s="545"/>
      <c r="P391" s="545"/>
      <c r="Q391" s="545"/>
      <c r="R391" s="545"/>
      <c r="S391" s="545"/>
      <c r="W391" s="545"/>
      <c r="X391" s="545"/>
      <c r="Y391" s="545"/>
      <c r="Z391" s="545"/>
      <c r="AA391" s="545"/>
      <c r="AB391" s="545"/>
      <c r="AC391" s="545"/>
    </row>
    <row r="392" spans="1:29" ht="12.75" customHeight="1">
      <c r="A392" s="545"/>
      <c r="B392" s="545"/>
      <c r="C392" s="545"/>
      <c r="D392" s="545"/>
      <c r="E392" s="545"/>
      <c r="F392" s="545"/>
      <c r="H392" s="545"/>
      <c r="I392" s="545"/>
      <c r="J392" s="545"/>
      <c r="K392" s="545"/>
      <c r="L392" s="545"/>
      <c r="M392" s="545"/>
      <c r="N392" s="545"/>
      <c r="O392" s="545"/>
      <c r="P392" s="545"/>
      <c r="Q392" s="545"/>
      <c r="R392" s="545"/>
      <c r="S392" s="545"/>
      <c r="W392" s="545"/>
      <c r="X392" s="545"/>
      <c r="Y392" s="545"/>
      <c r="Z392" s="545"/>
      <c r="AA392" s="545"/>
      <c r="AB392" s="545"/>
      <c r="AC392" s="545"/>
    </row>
    <row r="393" spans="1:29" ht="12.75" customHeight="1">
      <c r="A393" s="545"/>
      <c r="B393" s="545"/>
      <c r="C393" s="545"/>
      <c r="D393" s="545"/>
      <c r="E393" s="545"/>
      <c r="F393" s="545"/>
      <c r="H393" s="545"/>
      <c r="I393" s="545"/>
      <c r="J393" s="545"/>
      <c r="K393" s="545"/>
      <c r="L393" s="545"/>
      <c r="M393" s="545"/>
      <c r="N393" s="545"/>
      <c r="O393" s="545"/>
      <c r="P393" s="545"/>
      <c r="Q393" s="545"/>
      <c r="R393" s="545"/>
      <c r="S393" s="545"/>
      <c r="W393" s="545"/>
      <c r="X393" s="545"/>
      <c r="Y393" s="545"/>
      <c r="Z393" s="545"/>
      <c r="AA393" s="545"/>
      <c r="AB393" s="545"/>
      <c r="AC393" s="545"/>
    </row>
    <row r="394" spans="1:29" ht="12.75" customHeight="1">
      <c r="A394" s="545"/>
      <c r="B394" s="545"/>
      <c r="C394" s="545"/>
      <c r="D394" s="545"/>
      <c r="E394" s="545"/>
      <c r="F394" s="545"/>
      <c r="H394" s="545"/>
      <c r="I394" s="545"/>
      <c r="J394" s="545"/>
      <c r="K394" s="545"/>
      <c r="L394" s="545"/>
      <c r="M394" s="545"/>
      <c r="N394" s="545"/>
      <c r="O394" s="545"/>
      <c r="P394" s="545"/>
      <c r="Q394" s="545"/>
      <c r="R394" s="545"/>
      <c r="S394" s="545"/>
      <c r="W394" s="545"/>
      <c r="X394" s="545"/>
      <c r="Y394" s="545"/>
      <c r="Z394" s="545"/>
      <c r="AA394" s="545"/>
      <c r="AB394" s="545"/>
      <c r="AC394" s="545"/>
    </row>
    <row r="395" spans="1:29" ht="12.75" customHeight="1">
      <c r="A395" s="545"/>
      <c r="B395" s="545"/>
      <c r="C395" s="545"/>
      <c r="D395" s="545"/>
      <c r="E395" s="545"/>
      <c r="F395" s="545"/>
      <c r="H395" s="545"/>
      <c r="I395" s="545"/>
      <c r="J395" s="545"/>
      <c r="K395" s="545"/>
      <c r="L395" s="545"/>
      <c r="M395" s="545"/>
      <c r="N395" s="545"/>
      <c r="O395" s="545"/>
      <c r="P395" s="545"/>
      <c r="Q395" s="545"/>
      <c r="R395" s="545"/>
      <c r="S395" s="545"/>
      <c r="W395" s="545"/>
      <c r="X395" s="545"/>
      <c r="Y395" s="545"/>
      <c r="Z395" s="545"/>
      <c r="AA395" s="545"/>
      <c r="AB395" s="545"/>
      <c r="AC395" s="545"/>
    </row>
    <row r="396" spans="1:29" ht="12.75" customHeight="1">
      <c r="A396" s="545"/>
      <c r="B396" s="545"/>
      <c r="C396" s="545"/>
      <c r="D396" s="545"/>
      <c r="E396" s="545"/>
      <c r="F396" s="545"/>
      <c r="H396" s="545"/>
      <c r="I396" s="545"/>
      <c r="J396" s="545"/>
      <c r="K396" s="545"/>
      <c r="L396" s="545"/>
      <c r="M396" s="545"/>
      <c r="N396" s="545"/>
      <c r="O396" s="545"/>
      <c r="P396" s="545"/>
      <c r="Q396" s="545"/>
      <c r="R396" s="545"/>
      <c r="S396" s="545"/>
      <c r="W396" s="545"/>
      <c r="X396" s="545"/>
      <c r="Y396" s="545"/>
      <c r="Z396" s="545"/>
      <c r="AA396" s="545"/>
      <c r="AB396" s="545"/>
      <c r="AC396" s="545"/>
    </row>
    <row r="397" spans="1:29" ht="12.75" customHeight="1">
      <c r="A397" s="545"/>
      <c r="B397" s="545"/>
      <c r="C397" s="545"/>
      <c r="D397" s="545"/>
      <c r="E397" s="545"/>
      <c r="F397" s="545"/>
      <c r="H397" s="545"/>
      <c r="I397" s="545"/>
      <c r="J397" s="545"/>
      <c r="K397" s="545"/>
      <c r="L397" s="545"/>
      <c r="M397" s="545"/>
      <c r="N397" s="545"/>
      <c r="O397" s="545"/>
      <c r="P397" s="545"/>
      <c r="Q397" s="545"/>
      <c r="R397" s="545"/>
      <c r="S397" s="545"/>
      <c r="W397" s="545"/>
      <c r="X397" s="545"/>
      <c r="Y397" s="545"/>
      <c r="Z397" s="545"/>
      <c r="AA397" s="545"/>
      <c r="AB397" s="545"/>
      <c r="AC397" s="545"/>
    </row>
    <row r="398" spans="1:29" ht="12.75" customHeight="1">
      <c r="A398" s="545"/>
      <c r="B398" s="545"/>
      <c r="C398" s="545"/>
      <c r="D398" s="545"/>
      <c r="E398" s="545"/>
      <c r="F398" s="545"/>
      <c r="H398" s="545"/>
      <c r="I398" s="545"/>
      <c r="J398" s="545"/>
      <c r="K398" s="545"/>
      <c r="L398" s="545"/>
      <c r="M398" s="545"/>
      <c r="N398" s="545"/>
      <c r="O398" s="545"/>
      <c r="P398" s="545"/>
      <c r="Q398" s="545"/>
      <c r="R398" s="545"/>
      <c r="S398" s="545"/>
      <c r="W398" s="545"/>
      <c r="X398" s="545"/>
      <c r="Y398" s="545"/>
      <c r="Z398" s="545"/>
      <c r="AA398" s="545"/>
      <c r="AB398" s="545"/>
      <c r="AC398" s="545"/>
    </row>
    <row r="399" spans="1:29" ht="12.75" customHeight="1">
      <c r="A399" s="545"/>
      <c r="B399" s="545"/>
      <c r="C399" s="545"/>
      <c r="D399" s="545"/>
      <c r="E399" s="545"/>
      <c r="F399" s="545"/>
      <c r="H399" s="545"/>
      <c r="I399" s="545"/>
      <c r="J399" s="545"/>
      <c r="K399" s="545"/>
      <c r="L399" s="545"/>
      <c r="M399" s="545"/>
      <c r="N399" s="545"/>
      <c r="O399" s="545"/>
      <c r="P399" s="545"/>
      <c r="Q399" s="545"/>
      <c r="R399" s="545"/>
      <c r="S399" s="545"/>
      <c r="W399" s="545"/>
      <c r="X399" s="545"/>
      <c r="Y399" s="545"/>
      <c r="Z399" s="545"/>
      <c r="AA399" s="545"/>
      <c r="AB399" s="545"/>
      <c r="AC399" s="545"/>
    </row>
    <row r="400" spans="1:29" ht="12.75" customHeight="1">
      <c r="A400" s="545"/>
      <c r="B400" s="545"/>
      <c r="C400" s="545"/>
      <c r="D400" s="545"/>
      <c r="E400" s="545"/>
      <c r="F400" s="545"/>
      <c r="H400" s="545"/>
      <c r="I400" s="545"/>
      <c r="J400" s="545"/>
      <c r="K400" s="545"/>
      <c r="L400" s="545"/>
      <c r="M400" s="545"/>
      <c r="N400" s="545"/>
      <c r="O400" s="545"/>
      <c r="P400" s="545"/>
      <c r="Q400" s="545"/>
      <c r="R400" s="545"/>
      <c r="S400" s="545"/>
      <c r="W400" s="545"/>
      <c r="X400" s="545"/>
      <c r="Y400" s="545"/>
      <c r="Z400" s="545"/>
      <c r="AA400" s="545"/>
      <c r="AB400" s="545"/>
      <c r="AC400" s="545"/>
    </row>
    <row r="401" spans="1:29" ht="12.75" customHeight="1">
      <c r="A401" s="545"/>
      <c r="B401" s="545"/>
      <c r="C401" s="545"/>
      <c r="D401" s="545"/>
      <c r="E401" s="545"/>
      <c r="F401" s="545"/>
      <c r="H401" s="545"/>
      <c r="I401" s="545"/>
      <c r="J401" s="545"/>
      <c r="K401" s="545"/>
      <c r="L401" s="545"/>
      <c r="M401" s="545"/>
      <c r="N401" s="545"/>
      <c r="O401" s="545"/>
      <c r="P401" s="545"/>
      <c r="Q401" s="545"/>
      <c r="R401" s="545"/>
      <c r="S401" s="545"/>
      <c r="W401" s="545"/>
      <c r="X401" s="545"/>
      <c r="Y401" s="545"/>
      <c r="Z401" s="545"/>
      <c r="AA401" s="545"/>
      <c r="AB401" s="545"/>
      <c r="AC401" s="545"/>
    </row>
    <row r="402" spans="1:29" ht="12.75" customHeight="1">
      <c r="A402" s="545"/>
      <c r="B402" s="545"/>
      <c r="C402" s="545"/>
      <c r="D402" s="545"/>
      <c r="E402" s="545"/>
      <c r="F402" s="545"/>
      <c r="H402" s="545"/>
      <c r="I402" s="545"/>
      <c r="J402" s="545"/>
      <c r="K402" s="545"/>
      <c r="L402" s="545"/>
      <c r="M402" s="545"/>
      <c r="N402" s="545"/>
      <c r="O402" s="545"/>
      <c r="P402" s="545"/>
      <c r="Q402" s="545"/>
      <c r="R402" s="545"/>
      <c r="S402" s="545"/>
      <c r="W402" s="545"/>
      <c r="X402" s="545"/>
      <c r="Y402" s="545"/>
      <c r="Z402" s="545"/>
      <c r="AA402" s="545"/>
      <c r="AB402" s="545"/>
      <c r="AC402" s="545"/>
    </row>
    <row r="403" spans="1:29" ht="12.75" customHeight="1">
      <c r="A403" s="545"/>
      <c r="B403" s="545"/>
      <c r="C403" s="545"/>
      <c r="D403" s="545"/>
      <c r="E403" s="545"/>
      <c r="F403" s="545"/>
      <c r="H403" s="545"/>
      <c r="I403" s="545"/>
      <c r="J403" s="545"/>
      <c r="K403" s="545"/>
      <c r="L403" s="545"/>
      <c r="M403" s="545"/>
      <c r="N403" s="545"/>
      <c r="O403" s="545"/>
      <c r="P403" s="545"/>
      <c r="Q403" s="545"/>
      <c r="R403" s="545"/>
      <c r="S403" s="545"/>
      <c r="W403" s="545"/>
      <c r="X403" s="545"/>
      <c r="Y403" s="545"/>
      <c r="Z403" s="545"/>
      <c r="AA403" s="545"/>
      <c r="AB403" s="545"/>
      <c r="AC403" s="545"/>
    </row>
    <row r="404" spans="1:29" ht="12.75" customHeight="1">
      <c r="A404" s="545"/>
      <c r="B404" s="545"/>
      <c r="C404" s="545"/>
      <c r="D404" s="545"/>
      <c r="E404" s="545"/>
      <c r="F404" s="545"/>
      <c r="H404" s="545"/>
      <c r="I404" s="545"/>
      <c r="J404" s="545"/>
      <c r="K404" s="545"/>
      <c r="L404" s="545"/>
      <c r="M404" s="545"/>
      <c r="N404" s="545"/>
      <c r="O404" s="545"/>
      <c r="P404" s="545"/>
      <c r="Q404" s="545"/>
      <c r="R404" s="545"/>
      <c r="S404" s="545"/>
      <c r="W404" s="545"/>
      <c r="X404" s="545"/>
      <c r="Y404" s="545"/>
      <c r="Z404" s="545"/>
      <c r="AA404" s="545"/>
      <c r="AB404" s="545"/>
      <c r="AC404" s="545"/>
    </row>
    <row r="405" spans="1:29" ht="12.75" customHeight="1">
      <c r="A405" s="545"/>
      <c r="B405" s="545"/>
      <c r="C405" s="545"/>
      <c r="D405" s="545"/>
      <c r="E405" s="545"/>
      <c r="F405" s="545"/>
      <c r="H405" s="545"/>
      <c r="I405" s="545"/>
      <c r="J405" s="545"/>
      <c r="K405" s="545"/>
      <c r="L405" s="545"/>
      <c r="M405" s="545"/>
      <c r="N405" s="545"/>
      <c r="O405" s="545"/>
      <c r="P405" s="545"/>
      <c r="Q405" s="545"/>
      <c r="R405" s="545"/>
      <c r="S405" s="545"/>
      <c r="W405" s="545"/>
      <c r="X405" s="545"/>
      <c r="Y405" s="545"/>
      <c r="Z405" s="545"/>
      <c r="AA405" s="545"/>
      <c r="AB405" s="545"/>
      <c r="AC405" s="545"/>
    </row>
    <row r="406" spans="1:29" ht="12.75" customHeight="1">
      <c r="A406" s="545"/>
      <c r="B406" s="545"/>
      <c r="C406" s="545"/>
      <c r="D406" s="545"/>
      <c r="E406" s="545"/>
      <c r="F406" s="545"/>
      <c r="H406" s="545"/>
      <c r="I406" s="545"/>
      <c r="J406" s="545"/>
      <c r="K406" s="545"/>
      <c r="L406" s="545"/>
      <c r="M406" s="545"/>
      <c r="N406" s="545"/>
      <c r="O406" s="545"/>
      <c r="P406" s="545"/>
      <c r="Q406" s="545"/>
      <c r="R406" s="545"/>
      <c r="S406" s="545"/>
      <c r="W406" s="545"/>
      <c r="X406" s="545"/>
      <c r="Y406" s="545"/>
      <c r="Z406" s="545"/>
      <c r="AA406" s="545"/>
      <c r="AB406" s="545"/>
      <c r="AC406" s="545"/>
    </row>
    <row r="407" spans="1:29" ht="12.75" customHeight="1">
      <c r="A407" s="545"/>
      <c r="B407" s="545"/>
      <c r="C407" s="545"/>
      <c r="D407" s="545"/>
      <c r="E407" s="545"/>
      <c r="F407" s="545"/>
      <c r="H407" s="545"/>
      <c r="I407" s="545"/>
      <c r="J407" s="545"/>
      <c r="K407" s="545"/>
      <c r="L407" s="545"/>
      <c r="M407" s="545"/>
      <c r="N407" s="545"/>
      <c r="O407" s="545"/>
      <c r="P407" s="545"/>
      <c r="Q407" s="545"/>
      <c r="R407" s="545"/>
      <c r="S407" s="545"/>
      <c r="W407" s="545"/>
      <c r="X407" s="545"/>
      <c r="Y407" s="545"/>
      <c r="Z407" s="545"/>
      <c r="AA407" s="545"/>
      <c r="AB407" s="545"/>
      <c r="AC407" s="545"/>
    </row>
    <row r="408" spans="1:29" ht="12.75" customHeight="1">
      <c r="A408" s="545"/>
      <c r="B408" s="545"/>
      <c r="C408" s="545"/>
      <c r="D408" s="545"/>
      <c r="E408" s="545"/>
      <c r="F408" s="545"/>
      <c r="H408" s="545"/>
      <c r="I408" s="545"/>
      <c r="J408" s="545"/>
      <c r="K408" s="545"/>
      <c r="L408" s="545"/>
      <c r="M408" s="545"/>
      <c r="N408" s="545"/>
      <c r="O408" s="545"/>
      <c r="P408" s="545"/>
      <c r="Q408" s="545"/>
      <c r="R408" s="545"/>
      <c r="S408" s="545"/>
      <c r="W408" s="545"/>
      <c r="X408" s="545"/>
      <c r="Y408" s="545"/>
      <c r="Z408" s="545"/>
      <c r="AA408" s="545"/>
      <c r="AB408" s="545"/>
      <c r="AC408" s="545"/>
    </row>
    <row r="409" spans="1:29" ht="12.75" customHeight="1">
      <c r="A409" s="545"/>
      <c r="B409" s="545"/>
      <c r="C409" s="545"/>
      <c r="D409" s="545"/>
      <c r="E409" s="545"/>
      <c r="F409" s="545"/>
      <c r="H409" s="545"/>
      <c r="I409" s="545"/>
      <c r="J409" s="545"/>
      <c r="K409" s="545"/>
      <c r="L409" s="545"/>
      <c r="M409" s="545"/>
      <c r="N409" s="545"/>
      <c r="O409" s="545"/>
      <c r="P409" s="545"/>
      <c r="Q409" s="545"/>
      <c r="R409" s="545"/>
      <c r="S409" s="545"/>
      <c r="W409" s="545"/>
      <c r="X409" s="545"/>
      <c r="Y409" s="545"/>
      <c r="Z409" s="545"/>
      <c r="AA409" s="545"/>
      <c r="AB409" s="545"/>
      <c r="AC409" s="545"/>
    </row>
    <row r="410" spans="1:29" ht="12.75" customHeight="1">
      <c r="A410" s="545"/>
      <c r="B410" s="545"/>
      <c r="C410" s="545"/>
      <c r="D410" s="545"/>
      <c r="E410" s="545"/>
      <c r="F410" s="545"/>
      <c r="H410" s="545"/>
      <c r="I410" s="545"/>
      <c r="J410" s="545"/>
      <c r="K410" s="545"/>
      <c r="L410" s="545"/>
      <c r="M410" s="545"/>
      <c r="N410" s="545"/>
      <c r="O410" s="545"/>
      <c r="P410" s="545"/>
      <c r="Q410" s="545"/>
      <c r="R410" s="545"/>
      <c r="S410" s="545"/>
      <c r="W410" s="545"/>
      <c r="X410" s="545"/>
      <c r="Y410" s="545"/>
      <c r="Z410" s="545"/>
      <c r="AA410" s="545"/>
      <c r="AB410" s="545"/>
      <c r="AC410" s="545"/>
    </row>
    <row r="411" spans="1:29" ht="12.75" customHeight="1">
      <c r="A411" s="545"/>
      <c r="B411" s="545"/>
      <c r="C411" s="545"/>
      <c r="D411" s="545"/>
      <c r="E411" s="545"/>
      <c r="F411" s="545"/>
      <c r="H411" s="545"/>
      <c r="I411" s="545"/>
      <c r="J411" s="545"/>
      <c r="K411" s="545"/>
      <c r="L411" s="545"/>
      <c r="M411" s="545"/>
      <c r="N411" s="545"/>
      <c r="O411" s="545"/>
      <c r="P411" s="545"/>
      <c r="Q411" s="545"/>
      <c r="R411" s="545"/>
      <c r="S411" s="545"/>
      <c r="W411" s="545"/>
      <c r="X411" s="545"/>
      <c r="Y411" s="545"/>
      <c r="Z411" s="545"/>
      <c r="AA411" s="545"/>
      <c r="AB411" s="545"/>
      <c r="AC411" s="545"/>
    </row>
    <row r="412" spans="1:29" ht="12.75" customHeight="1">
      <c r="A412" s="545"/>
      <c r="B412" s="545"/>
      <c r="C412" s="545"/>
      <c r="D412" s="545"/>
      <c r="E412" s="545"/>
      <c r="F412" s="545"/>
      <c r="H412" s="545"/>
      <c r="I412" s="545"/>
      <c r="J412" s="545"/>
      <c r="K412" s="545"/>
      <c r="L412" s="545"/>
      <c r="M412" s="545"/>
      <c r="N412" s="545"/>
      <c r="O412" s="545"/>
      <c r="P412" s="545"/>
      <c r="Q412" s="545"/>
      <c r="R412" s="545"/>
      <c r="S412" s="545"/>
      <c r="W412" s="545"/>
      <c r="X412" s="545"/>
      <c r="Y412" s="545"/>
      <c r="Z412" s="545"/>
      <c r="AA412" s="545"/>
      <c r="AB412" s="545"/>
      <c r="AC412" s="545"/>
    </row>
    <row r="413" spans="1:29" ht="12.75" customHeight="1">
      <c r="A413" s="545"/>
      <c r="B413" s="545"/>
      <c r="C413" s="545"/>
      <c r="D413" s="545"/>
      <c r="E413" s="545"/>
      <c r="F413" s="545"/>
      <c r="H413" s="545"/>
      <c r="I413" s="545"/>
      <c r="J413" s="545"/>
      <c r="K413" s="545"/>
      <c r="L413" s="545"/>
      <c r="M413" s="545"/>
      <c r="N413" s="545"/>
      <c r="O413" s="545"/>
      <c r="P413" s="545"/>
      <c r="Q413" s="545"/>
      <c r="R413" s="545"/>
      <c r="S413" s="545"/>
      <c r="W413" s="545"/>
      <c r="X413" s="545"/>
      <c r="Y413" s="545"/>
      <c r="Z413" s="545"/>
      <c r="AA413" s="545"/>
      <c r="AB413" s="545"/>
      <c r="AC413" s="545"/>
    </row>
    <row r="414" spans="1:29" ht="12.75" customHeight="1">
      <c r="A414" s="545"/>
      <c r="B414" s="545"/>
      <c r="C414" s="545"/>
      <c r="D414" s="545"/>
      <c r="E414" s="545"/>
      <c r="F414" s="545"/>
      <c r="H414" s="545"/>
      <c r="I414" s="545"/>
      <c r="J414" s="545"/>
      <c r="K414" s="545"/>
      <c r="L414" s="545"/>
      <c r="M414" s="545"/>
      <c r="N414" s="545"/>
      <c r="O414" s="545"/>
      <c r="P414" s="545"/>
      <c r="Q414" s="545"/>
      <c r="R414" s="545"/>
      <c r="S414" s="545"/>
      <c r="W414" s="545"/>
      <c r="X414" s="545"/>
      <c r="Y414" s="545"/>
      <c r="Z414" s="545"/>
      <c r="AA414" s="545"/>
      <c r="AB414" s="545"/>
      <c r="AC414" s="545"/>
    </row>
    <row r="415" spans="1:29" ht="12.75" customHeight="1">
      <c r="A415" s="545"/>
      <c r="B415" s="545"/>
      <c r="C415" s="545"/>
      <c r="D415" s="545"/>
      <c r="E415" s="545"/>
      <c r="F415" s="545"/>
      <c r="H415" s="545"/>
      <c r="I415" s="545"/>
      <c r="J415" s="545"/>
      <c r="K415" s="545"/>
      <c r="L415" s="545"/>
      <c r="M415" s="545"/>
      <c r="N415" s="545"/>
      <c r="O415" s="545"/>
      <c r="P415" s="545"/>
      <c r="Q415" s="545"/>
      <c r="R415" s="545"/>
      <c r="S415" s="545"/>
      <c r="W415" s="545"/>
      <c r="X415" s="545"/>
      <c r="Y415" s="545"/>
      <c r="Z415" s="545"/>
      <c r="AA415" s="545"/>
      <c r="AB415" s="545"/>
      <c r="AC415" s="545"/>
    </row>
    <row r="416" spans="1:29" ht="12.75" customHeight="1">
      <c r="A416" s="545"/>
      <c r="B416" s="545"/>
      <c r="C416" s="545"/>
      <c r="D416" s="545"/>
      <c r="E416" s="545"/>
      <c r="F416" s="545"/>
      <c r="H416" s="545"/>
      <c r="I416" s="545"/>
      <c r="J416" s="545"/>
      <c r="K416" s="545"/>
      <c r="L416" s="545"/>
      <c r="M416" s="545"/>
      <c r="N416" s="545"/>
      <c r="O416" s="545"/>
      <c r="P416" s="545"/>
      <c r="Q416" s="545"/>
      <c r="R416" s="545"/>
      <c r="S416" s="545"/>
      <c r="W416" s="545"/>
      <c r="X416" s="545"/>
      <c r="Y416" s="545"/>
      <c r="Z416" s="545"/>
      <c r="AA416" s="545"/>
      <c r="AB416" s="545"/>
      <c r="AC416" s="545"/>
    </row>
    <row r="417" spans="1:29" ht="12.75" customHeight="1">
      <c r="A417" s="545"/>
      <c r="B417" s="545"/>
      <c r="C417" s="545"/>
      <c r="D417" s="545"/>
      <c r="E417" s="545"/>
      <c r="F417" s="545"/>
      <c r="H417" s="545"/>
      <c r="I417" s="545"/>
      <c r="J417" s="545"/>
      <c r="K417" s="545"/>
      <c r="L417" s="545"/>
      <c r="M417" s="545"/>
      <c r="N417" s="545"/>
      <c r="O417" s="545"/>
      <c r="P417" s="545"/>
      <c r="Q417" s="545"/>
      <c r="R417" s="545"/>
      <c r="S417" s="545"/>
      <c r="W417" s="545"/>
      <c r="X417" s="545"/>
      <c r="Y417" s="545"/>
      <c r="Z417" s="545"/>
      <c r="AA417" s="545"/>
      <c r="AB417" s="545"/>
      <c r="AC417" s="545"/>
    </row>
    <row r="418" spans="1:29" ht="12.75" customHeight="1">
      <c r="A418" s="545"/>
      <c r="B418" s="545"/>
      <c r="C418" s="545"/>
      <c r="D418" s="545"/>
      <c r="E418" s="545"/>
      <c r="F418" s="545"/>
      <c r="H418" s="545"/>
      <c r="I418" s="545"/>
      <c r="J418" s="545"/>
      <c r="K418" s="545"/>
      <c r="L418" s="545"/>
      <c r="M418" s="545"/>
      <c r="N418" s="545"/>
      <c r="O418" s="545"/>
      <c r="P418" s="545"/>
      <c r="Q418" s="545"/>
      <c r="R418" s="545"/>
      <c r="S418" s="545"/>
      <c r="W418" s="545"/>
      <c r="X418" s="545"/>
      <c r="Y418" s="545"/>
      <c r="Z418" s="545"/>
      <c r="AA418" s="545"/>
      <c r="AB418" s="545"/>
      <c r="AC418" s="545"/>
    </row>
    <row r="419" spans="1:29" ht="12.75" customHeight="1">
      <c r="A419" s="545"/>
      <c r="B419" s="545"/>
      <c r="C419" s="545"/>
      <c r="D419" s="545"/>
      <c r="E419" s="545"/>
      <c r="F419" s="545"/>
      <c r="H419" s="545"/>
      <c r="I419" s="545"/>
      <c r="J419" s="545"/>
      <c r="K419" s="545"/>
      <c r="L419" s="545"/>
      <c r="M419" s="545"/>
      <c r="N419" s="545"/>
      <c r="O419" s="545"/>
      <c r="P419" s="545"/>
      <c r="Q419" s="545"/>
      <c r="R419" s="545"/>
      <c r="S419" s="545"/>
      <c r="W419" s="545"/>
      <c r="X419" s="545"/>
      <c r="Y419" s="545"/>
      <c r="Z419" s="545"/>
      <c r="AA419" s="545"/>
      <c r="AB419" s="545"/>
      <c r="AC419" s="545"/>
    </row>
    <row r="420" spans="1:29" ht="12.75" customHeight="1">
      <c r="A420" s="545"/>
      <c r="B420" s="545"/>
      <c r="C420" s="545"/>
      <c r="D420" s="545"/>
      <c r="E420" s="545"/>
      <c r="F420" s="545"/>
      <c r="H420" s="545"/>
      <c r="I420" s="545"/>
      <c r="J420" s="545"/>
      <c r="K420" s="545"/>
      <c r="L420" s="545"/>
      <c r="M420" s="545"/>
      <c r="N420" s="545"/>
      <c r="O420" s="545"/>
      <c r="P420" s="545"/>
      <c r="Q420" s="545"/>
      <c r="R420" s="545"/>
      <c r="S420" s="545"/>
      <c r="W420" s="545"/>
      <c r="X420" s="545"/>
      <c r="Y420" s="545"/>
      <c r="Z420" s="545"/>
      <c r="AA420" s="545"/>
      <c r="AB420" s="545"/>
      <c r="AC420" s="545"/>
    </row>
    <row r="421" spans="1:29" ht="12.75" customHeight="1">
      <c r="A421" s="545"/>
      <c r="B421" s="545"/>
      <c r="C421" s="545"/>
      <c r="D421" s="545"/>
      <c r="E421" s="545"/>
      <c r="F421" s="545"/>
      <c r="H421" s="545"/>
      <c r="I421" s="545"/>
      <c r="J421" s="545"/>
      <c r="K421" s="545"/>
      <c r="L421" s="545"/>
      <c r="M421" s="545"/>
      <c r="N421" s="545"/>
      <c r="O421" s="545"/>
      <c r="P421" s="545"/>
      <c r="Q421" s="545"/>
      <c r="R421" s="545"/>
      <c r="S421" s="545"/>
      <c r="W421" s="545"/>
      <c r="X421" s="545"/>
      <c r="Y421" s="545"/>
      <c r="Z421" s="545"/>
      <c r="AA421" s="545"/>
      <c r="AB421" s="545"/>
      <c r="AC421" s="545"/>
    </row>
    <row r="422" spans="1:29" ht="12.75" customHeight="1">
      <c r="A422" s="545"/>
      <c r="B422" s="545"/>
      <c r="C422" s="545"/>
      <c r="D422" s="545"/>
      <c r="E422" s="545"/>
      <c r="F422" s="545"/>
      <c r="H422" s="545"/>
      <c r="I422" s="545"/>
      <c r="J422" s="545"/>
      <c r="K422" s="545"/>
      <c r="L422" s="545"/>
      <c r="M422" s="545"/>
      <c r="N422" s="545"/>
      <c r="O422" s="545"/>
      <c r="P422" s="545"/>
      <c r="Q422" s="545"/>
      <c r="R422" s="545"/>
      <c r="S422" s="545"/>
      <c r="W422" s="545"/>
      <c r="X422" s="545"/>
      <c r="Y422" s="545"/>
      <c r="Z422" s="545"/>
      <c r="AA422" s="545"/>
      <c r="AB422" s="545"/>
      <c r="AC422" s="545"/>
    </row>
    <row r="423" spans="1:29" ht="12.75" customHeight="1">
      <c r="A423" s="545"/>
      <c r="B423" s="545"/>
      <c r="C423" s="545"/>
      <c r="D423" s="545"/>
      <c r="E423" s="545"/>
      <c r="F423" s="545"/>
      <c r="H423" s="545"/>
      <c r="I423" s="545"/>
      <c r="J423" s="545"/>
      <c r="K423" s="545"/>
      <c r="L423" s="545"/>
      <c r="M423" s="545"/>
      <c r="N423" s="545"/>
      <c r="O423" s="545"/>
      <c r="P423" s="545"/>
      <c r="Q423" s="545"/>
      <c r="R423" s="545"/>
      <c r="S423" s="545"/>
      <c r="W423" s="545"/>
      <c r="X423" s="545"/>
      <c r="Y423" s="545"/>
      <c r="Z423" s="545"/>
      <c r="AA423" s="545"/>
      <c r="AB423" s="545"/>
      <c r="AC423" s="545"/>
    </row>
    <row r="424" spans="1:29" ht="12.75" customHeight="1">
      <c r="A424" s="545"/>
      <c r="B424" s="545"/>
      <c r="C424" s="545"/>
      <c r="D424" s="545"/>
      <c r="E424" s="545"/>
      <c r="F424" s="545"/>
      <c r="H424" s="545"/>
      <c r="I424" s="545"/>
      <c r="J424" s="545"/>
      <c r="K424" s="545"/>
      <c r="L424" s="545"/>
      <c r="M424" s="545"/>
      <c r="N424" s="545"/>
      <c r="O424" s="545"/>
      <c r="P424" s="545"/>
      <c r="Q424" s="545"/>
      <c r="R424" s="545"/>
      <c r="S424" s="545"/>
      <c r="W424" s="545"/>
      <c r="X424" s="545"/>
      <c r="Y424" s="545"/>
      <c r="Z424" s="545"/>
      <c r="AA424" s="545"/>
      <c r="AB424" s="545"/>
      <c r="AC424" s="545"/>
    </row>
    <row r="425" spans="1:29" ht="12.75" customHeight="1">
      <c r="A425" s="545"/>
      <c r="B425" s="545"/>
      <c r="C425" s="545"/>
      <c r="D425" s="545"/>
      <c r="E425" s="545"/>
      <c r="F425" s="545"/>
      <c r="H425" s="545"/>
      <c r="I425" s="545"/>
      <c r="J425" s="545"/>
      <c r="K425" s="545"/>
      <c r="L425" s="545"/>
      <c r="M425" s="545"/>
      <c r="N425" s="545"/>
      <c r="O425" s="545"/>
      <c r="P425" s="545"/>
      <c r="Q425" s="545"/>
      <c r="R425" s="545"/>
      <c r="S425" s="545"/>
      <c r="W425" s="545"/>
      <c r="X425" s="545"/>
      <c r="Y425" s="545"/>
      <c r="Z425" s="545"/>
      <c r="AA425" s="545"/>
      <c r="AB425" s="545"/>
      <c r="AC425" s="545"/>
    </row>
    <row r="426" spans="1:29" ht="12.75" customHeight="1">
      <c r="A426" s="545"/>
      <c r="B426" s="545"/>
      <c r="C426" s="545"/>
      <c r="D426" s="545"/>
      <c r="E426" s="545"/>
      <c r="F426" s="545"/>
      <c r="H426" s="545"/>
      <c r="I426" s="545"/>
      <c r="J426" s="545"/>
      <c r="K426" s="545"/>
      <c r="L426" s="545"/>
      <c r="M426" s="545"/>
      <c r="N426" s="545"/>
      <c r="O426" s="545"/>
      <c r="P426" s="545"/>
      <c r="Q426" s="545"/>
      <c r="R426" s="545"/>
      <c r="S426" s="545"/>
      <c r="W426" s="545"/>
      <c r="X426" s="545"/>
      <c r="Y426" s="545"/>
      <c r="Z426" s="545"/>
      <c r="AA426" s="545"/>
      <c r="AB426" s="545"/>
      <c r="AC426" s="545"/>
    </row>
    <row r="427" spans="1:29" ht="12.75" customHeight="1">
      <c r="A427" s="545"/>
      <c r="B427" s="545"/>
      <c r="C427" s="545"/>
      <c r="D427" s="545"/>
      <c r="E427" s="545"/>
      <c r="F427" s="545"/>
      <c r="H427" s="545"/>
      <c r="I427" s="545"/>
      <c r="J427" s="545"/>
      <c r="K427" s="545"/>
      <c r="L427" s="545"/>
      <c r="M427" s="545"/>
      <c r="N427" s="545"/>
      <c r="O427" s="545"/>
      <c r="P427" s="545"/>
      <c r="Q427" s="545"/>
      <c r="R427" s="545"/>
      <c r="S427" s="545"/>
      <c r="W427" s="545"/>
      <c r="X427" s="545"/>
      <c r="Y427" s="545"/>
      <c r="Z427" s="545"/>
      <c r="AA427" s="545"/>
      <c r="AB427" s="545"/>
      <c r="AC427" s="545"/>
    </row>
    <row r="428" spans="1:29" ht="12.75" customHeight="1">
      <c r="A428" s="545"/>
      <c r="B428" s="545"/>
      <c r="C428" s="545"/>
      <c r="D428" s="545"/>
      <c r="E428" s="545"/>
      <c r="F428" s="545"/>
      <c r="H428" s="545"/>
      <c r="I428" s="545"/>
      <c r="J428" s="545"/>
      <c r="K428" s="545"/>
      <c r="L428" s="545"/>
      <c r="M428" s="545"/>
      <c r="N428" s="545"/>
      <c r="O428" s="545"/>
      <c r="P428" s="545"/>
      <c r="Q428" s="545"/>
      <c r="R428" s="545"/>
      <c r="S428" s="545"/>
      <c r="W428" s="545"/>
      <c r="X428" s="545"/>
      <c r="Y428" s="545"/>
      <c r="Z428" s="545"/>
      <c r="AA428" s="545"/>
      <c r="AB428" s="545"/>
      <c r="AC428" s="545"/>
    </row>
    <row r="429" spans="1:29" ht="12.75" customHeight="1">
      <c r="A429" s="545"/>
      <c r="B429" s="545"/>
      <c r="C429" s="545"/>
      <c r="D429" s="545"/>
      <c r="E429" s="545"/>
      <c r="F429" s="545"/>
      <c r="H429" s="545"/>
      <c r="I429" s="545"/>
      <c r="J429" s="545"/>
      <c r="K429" s="545"/>
      <c r="L429" s="545"/>
      <c r="M429" s="545"/>
      <c r="N429" s="545"/>
      <c r="O429" s="545"/>
      <c r="P429" s="545"/>
      <c r="Q429" s="545"/>
      <c r="R429" s="545"/>
      <c r="S429" s="545"/>
      <c r="W429" s="545"/>
      <c r="X429" s="545"/>
      <c r="Y429" s="545"/>
      <c r="Z429" s="545"/>
      <c r="AA429" s="545"/>
      <c r="AB429" s="545"/>
      <c r="AC429" s="545"/>
    </row>
    <row r="430" spans="1:29" ht="12.75" customHeight="1">
      <c r="A430" s="545"/>
      <c r="B430" s="545"/>
      <c r="C430" s="545"/>
      <c r="D430" s="545"/>
      <c r="E430" s="545"/>
      <c r="F430" s="545"/>
      <c r="H430" s="545"/>
      <c r="I430" s="545"/>
      <c r="J430" s="545"/>
      <c r="K430" s="545"/>
      <c r="L430" s="545"/>
      <c r="M430" s="545"/>
      <c r="N430" s="545"/>
      <c r="O430" s="545"/>
      <c r="P430" s="545"/>
      <c r="Q430" s="545"/>
      <c r="R430" s="545"/>
      <c r="S430" s="545"/>
      <c r="W430" s="545"/>
      <c r="X430" s="545"/>
      <c r="Y430" s="545"/>
      <c r="Z430" s="545"/>
      <c r="AA430" s="545"/>
      <c r="AB430" s="545"/>
      <c r="AC430" s="545"/>
    </row>
    <row r="431" spans="1:29" ht="12.75" customHeight="1">
      <c r="A431" s="545"/>
      <c r="B431" s="545"/>
      <c r="C431" s="545"/>
      <c r="D431" s="545"/>
      <c r="E431" s="545"/>
      <c r="F431" s="545"/>
      <c r="H431" s="545"/>
      <c r="I431" s="545"/>
      <c r="J431" s="545"/>
      <c r="K431" s="545"/>
      <c r="L431" s="545"/>
      <c r="M431" s="545"/>
      <c r="N431" s="545"/>
      <c r="O431" s="545"/>
      <c r="P431" s="545"/>
      <c r="Q431" s="545"/>
      <c r="R431" s="545"/>
      <c r="S431" s="545"/>
      <c r="W431" s="545"/>
      <c r="X431" s="545"/>
      <c r="Y431" s="545"/>
      <c r="Z431" s="545"/>
      <c r="AA431" s="545"/>
      <c r="AB431" s="545"/>
      <c r="AC431" s="545"/>
    </row>
    <row r="432" spans="1:29" ht="12.75" customHeight="1">
      <c r="A432" s="545"/>
      <c r="B432" s="545"/>
      <c r="C432" s="545"/>
      <c r="D432" s="545"/>
      <c r="E432" s="545"/>
      <c r="F432" s="545"/>
      <c r="H432" s="545"/>
      <c r="I432" s="545"/>
      <c r="J432" s="545"/>
      <c r="K432" s="545"/>
      <c r="L432" s="545"/>
      <c r="M432" s="545"/>
      <c r="N432" s="545"/>
      <c r="O432" s="545"/>
      <c r="P432" s="545"/>
      <c r="Q432" s="545"/>
      <c r="R432" s="545"/>
      <c r="S432" s="545"/>
      <c r="W432" s="545"/>
      <c r="X432" s="545"/>
      <c r="Y432" s="545"/>
      <c r="Z432" s="545"/>
      <c r="AA432" s="545"/>
      <c r="AB432" s="545"/>
      <c r="AC432" s="545"/>
    </row>
    <row r="433" spans="1:29" ht="12.75" customHeight="1">
      <c r="A433" s="545"/>
      <c r="B433" s="545"/>
      <c r="C433" s="545"/>
      <c r="D433" s="545"/>
      <c r="E433" s="545"/>
      <c r="F433" s="545"/>
      <c r="H433" s="545"/>
      <c r="I433" s="545"/>
      <c r="J433" s="545"/>
      <c r="K433" s="545"/>
      <c r="L433" s="545"/>
      <c r="M433" s="545"/>
      <c r="N433" s="545"/>
      <c r="O433" s="545"/>
      <c r="P433" s="545"/>
      <c r="Q433" s="545"/>
      <c r="R433" s="545"/>
      <c r="S433" s="545"/>
      <c r="W433" s="545"/>
      <c r="X433" s="545"/>
      <c r="Y433" s="545"/>
      <c r="Z433" s="545"/>
      <c r="AA433" s="545"/>
      <c r="AB433" s="545"/>
      <c r="AC433" s="545"/>
    </row>
    <row r="434" spans="1:29" ht="12.75" customHeight="1">
      <c r="A434" s="545"/>
      <c r="B434" s="545"/>
      <c r="C434" s="545"/>
      <c r="D434" s="545"/>
      <c r="E434" s="545"/>
      <c r="F434" s="545"/>
      <c r="H434" s="545"/>
      <c r="I434" s="545"/>
      <c r="J434" s="545"/>
      <c r="K434" s="545"/>
      <c r="L434" s="545"/>
      <c r="M434" s="545"/>
      <c r="N434" s="545"/>
      <c r="O434" s="545"/>
      <c r="P434" s="545"/>
      <c r="Q434" s="545"/>
      <c r="R434" s="545"/>
      <c r="S434" s="545"/>
      <c r="W434" s="545"/>
      <c r="X434" s="545"/>
      <c r="Y434" s="545"/>
      <c r="Z434" s="545"/>
      <c r="AA434" s="545"/>
      <c r="AB434" s="545"/>
      <c r="AC434" s="545"/>
    </row>
    <row r="435" spans="1:29" ht="12.75" customHeight="1">
      <c r="A435" s="545"/>
      <c r="B435" s="545"/>
      <c r="C435" s="545"/>
      <c r="D435" s="545"/>
      <c r="E435" s="545"/>
      <c r="F435" s="545"/>
      <c r="H435" s="545"/>
      <c r="I435" s="545"/>
      <c r="J435" s="545"/>
      <c r="K435" s="545"/>
      <c r="L435" s="545"/>
      <c r="M435" s="545"/>
      <c r="N435" s="545"/>
      <c r="O435" s="545"/>
      <c r="P435" s="545"/>
      <c r="Q435" s="545"/>
      <c r="R435" s="545"/>
      <c r="S435" s="545"/>
      <c r="W435" s="545"/>
      <c r="X435" s="545"/>
      <c r="Y435" s="545"/>
      <c r="Z435" s="545"/>
      <c r="AA435" s="545"/>
      <c r="AB435" s="545"/>
      <c r="AC435" s="545"/>
    </row>
    <row r="436" spans="1:29" ht="12.75" customHeight="1">
      <c r="A436" s="545"/>
      <c r="B436" s="545"/>
      <c r="C436" s="545"/>
      <c r="D436" s="545"/>
      <c r="E436" s="545"/>
      <c r="F436" s="545"/>
      <c r="H436" s="545"/>
      <c r="I436" s="545"/>
      <c r="J436" s="545"/>
      <c r="K436" s="545"/>
      <c r="L436" s="545"/>
      <c r="M436" s="545"/>
      <c r="N436" s="545"/>
      <c r="O436" s="545"/>
      <c r="P436" s="545"/>
      <c r="Q436" s="545"/>
      <c r="R436" s="545"/>
      <c r="S436" s="545"/>
      <c r="W436" s="545"/>
      <c r="X436" s="545"/>
      <c r="Y436" s="545"/>
      <c r="Z436" s="545"/>
      <c r="AA436" s="545"/>
      <c r="AB436" s="545"/>
      <c r="AC436" s="545"/>
    </row>
    <row r="437" spans="1:29" ht="12.75" customHeight="1">
      <c r="A437" s="545"/>
      <c r="B437" s="545"/>
      <c r="C437" s="545"/>
      <c r="D437" s="545"/>
      <c r="E437" s="545"/>
      <c r="F437" s="545"/>
      <c r="H437" s="545"/>
      <c r="I437" s="545"/>
      <c r="J437" s="545"/>
      <c r="K437" s="545"/>
      <c r="L437" s="545"/>
      <c r="M437" s="545"/>
      <c r="N437" s="545"/>
      <c r="O437" s="545"/>
      <c r="P437" s="545"/>
      <c r="Q437" s="545"/>
      <c r="R437" s="545"/>
      <c r="S437" s="545"/>
      <c r="W437" s="545"/>
      <c r="X437" s="545"/>
      <c r="Y437" s="545"/>
      <c r="Z437" s="545"/>
      <c r="AA437" s="545"/>
      <c r="AB437" s="545"/>
      <c r="AC437" s="545"/>
    </row>
    <row r="438" spans="1:29" ht="12.75" customHeight="1">
      <c r="A438" s="545"/>
      <c r="B438" s="545"/>
      <c r="C438" s="545"/>
      <c r="D438" s="545"/>
      <c r="E438" s="545"/>
      <c r="F438" s="545"/>
      <c r="H438" s="545"/>
      <c r="I438" s="545"/>
      <c r="J438" s="545"/>
      <c r="K438" s="545"/>
      <c r="L438" s="545"/>
      <c r="M438" s="545"/>
      <c r="N438" s="545"/>
      <c r="O438" s="545"/>
      <c r="P438" s="545"/>
      <c r="Q438" s="545"/>
      <c r="R438" s="545"/>
      <c r="S438" s="545"/>
      <c r="W438" s="545"/>
      <c r="X438" s="545"/>
      <c r="Y438" s="545"/>
      <c r="Z438" s="545"/>
      <c r="AA438" s="545"/>
      <c r="AB438" s="545"/>
      <c r="AC438" s="545"/>
    </row>
    <row r="439" spans="1:29" ht="12.75" customHeight="1">
      <c r="A439" s="545"/>
      <c r="B439" s="545"/>
      <c r="C439" s="545"/>
      <c r="D439" s="545"/>
      <c r="E439" s="545"/>
      <c r="F439" s="545"/>
      <c r="H439" s="545"/>
      <c r="I439" s="545"/>
      <c r="J439" s="545"/>
      <c r="K439" s="545"/>
      <c r="L439" s="545"/>
      <c r="M439" s="545"/>
      <c r="N439" s="545"/>
      <c r="O439" s="545"/>
      <c r="P439" s="545"/>
      <c r="Q439" s="545"/>
      <c r="R439" s="545"/>
      <c r="S439" s="545"/>
      <c r="W439" s="545"/>
      <c r="X439" s="545"/>
      <c r="Y439" s="545"/>
      <c r="Z439" s="545"/>
      <c r="AA439" s="545"/>
      <c r="AB439" s="545"/>
      <c r="AC439" s="545"/>
    </row>
    <row r="440" spans="1:29" ht="12.75" customHeight="1">
      <c r="A440" s="545"/>
      <c r="B440" s="545"/>
      <c r="C440" s="545"/>
      <c r="D440" s="545"/>
      <c r="E440" s="545"/>
      <c r="F440" s="545"/>
      <c r="H440" s="545"/>
      <c r="I440" s="545"/>
      <c r="J440" s="545"/>
      <c r="K440" s="545"/>
      <c r="L440" s="545"/>
      <c r="M440" s="545"/>
      <c r="N440" s="545"/>
      <c r="O440" s="545"/>
      <c r="P440" s="545"/>
      <c r="Q440" s="545"/>
      <c r="R440" s="545"/>
      <c r="S440" s="545"/>
      <c r="W440" s="545"/>
      <c r="X440" s="545"/>
      <c r="Y440" s="545"/>
      <c r="Z440" s="545"/>
      <c r="AA440" s="545"/>
      <c r="AB440" s="545"/>
      <c r="AC440" s="545"/>
    </row>
    <row r="441" spans="1:29" ht="12.75" customHeight="1">
      <c r="A441" s="545"/>
      <c r="B441" s="545"/>
      <c r="C441" s="545"/>
      <c r="D441" s="545"/>
      <c r="E441" s="545"/>
      <c r="F441" s="545"/>
      <c r="H441" s="545"/>
      <c r="I441" s="545"/>
      <c r="J441" s="545"/>
      <c r="K441" s="545"/>
      <c r="L441" s="545"/>
      <c r="M441" s="545"/>
      <c r="N441" s="545"/>
      <c r="O441" s="545"/>
      <c r="P441" s="545"/>
      <c r="Q441" s="545"/>
      <c r="R441" s="545"/>
      <c r="S441" s="545"/>
      <c r="W441" s="545"/>
      <c r="X441" s="545"/>
      <c r="Y441" s="545"/>
      <c r="Z441" s="545"/>
      <c r="AA441" s="545"/>
      <c r="AB441" s="545"/>
      <c r="AC441" s="545"/>
    </row>
    <row r="442" spans="1:29" ht="12.75" customHeight="1">
      <c r="A442" s="545"/>
      <c r="B442" s="545"/>
      <c r="C442" s="545"/>
      <c r="D442" s="545"/>
      <c r="E442" s="545"/>
      <c r="F442" s="545"/>
      <c r="H442" s="545"/>
      <c r="I442" s="545"/>
      <c r="J442" s="545"/>
      <c r="K442" s="545"/>
      <c r="L442" s="545"/>
      <c r="M442" s="545"/>
      <c r="N442" s="545"/>
      <c r="O442" s="545"/>
      <c r="P442" s="545"/>
      <c r="Q442" s="545"/>
      <c r="R442" s="545"/>
      <c r="S442" s="545"/>
      <c r="W442" s="545"/>
      <c r="X442" s="545"/>
      <c r="Y442" s="545"/>
      <c r="Z442" s="545"/>
      <c r="AA442" s="545"/>
      <c r="AB442" s="545"/>
      <c r="AC442" s="545"/>
    </row>
    <row r="443" spans="1:29" ht="12.75" customHeight="1">
      <c r="A443" s="545"/>
      <c r="B443" s="545"/>
      <c r="C443" s="545"/>
      <c r="D443" s="545"/>
      <c r="E443" s="545"/>
      <c r="F443" s="545"/>
      <c r="H443" s="545"/>
      <c r="I443" s="545"/>
      <c r="J443" s="545"/>
      <c r="K443" s="545"/>
      <c r="L443" s="545"/>
      <c r="M443" s="545"/>
      <c r="N443" s="545"/>
      <c r="O443" s="545"/>
      <c r="P443" s="545"/>
      <c r="Q443" s="545"/>
      <c r="R443" s="545"/>
      <c r="S443" s="545"/>
      <c r="W443" s="545"/>
      <c r="X443" s="545"/>
      <c r="Y443" s="545"/>
      <c r="Z443" s="545"/>
      <c r="AA443" s="545"/>
      <c r="AB443" s="545"/>
      <c r="AC443" s="545"/>
    </row>
    <row r="444" spans="1:29" ht="12.75" customHeight="1">
      <c r="A444" s="545"/>
      <c r="B444" s="545"/>
      <c r="C444" s="545"/>
      <c r="D444" s="545"/>
      <c r="E444" s="545"/>
      <c r="F444" s="545"/>
      <c r="H444" s="545"/>
      <c r="I444" s="545"/>
      <c r="J444" s="545"/>
      <c r="K444" s="545"/>
      <c r="L444" s="545"/>
      <c r="M444" s="545"/>
      <c r="N444" s="545"/>
      <c r="O444" s="545"/>
      <c r="P444" s="545"/>
      <c r="Q444" s="545"/>
      <c r="R444" s="545"/>
      <c r="S444" s="545"/>
      <c r="W444" s="545"/>
      <c r="X444" s="545"/>
      <c r="Y444" s="545"/>
      <c r="Z444" s="545"/>
      <c r="AA444" s="545"/>
      <c r="AB444" s="545"/>
      <c r="AC444" s="545"/>
    </row>
    <row r="445" spans="1:29" ht="12.75" customHeight="1">
      <c r="A445" s="545"/>
      <c r="B445" s="545"/>
      <c r="C445" s="545"/>
      <c r="D445" s="545"/>
      <c r="E445" s="545"/>
      <c r="F445" s="545"/>
      <c r="H445" s="545"/>
      <c r="I445" s="545"/>
      <c r="J445" s="545"/>
      <c r="K445" s="545"/>
      <c r="L445" s="545"/>
      <c r="M445" s="545"/>
      <c r="N445" s="545"/>
      <c r="O445" s="545"/>
      <c r="P445" s="545"/>
      <c r="Q445" s="545"/>
      <c r="R445" s="545"/>
      <c r="S445" s="545"/>
      <c r="W445" s="545"/>
      <c r="X445" s="545"/>
      <c r="Y445" s="545"/>
      <c r="Z445" s="545"/>
      <c r="AA445" s="545"/>
      <c r="AB445" s="545"/>
      <c r="AC445" s="545"/>
    </row>
    <row r="446" spans="1:29" ht="12.75" customHeight="1">
      <c r="A446" s="545"/>
      <c r="B446" s="545"/>
      <c r="C446" s="545"/>
      <c r="D446" s="545"/>
      <c r="E446" s="545"/>
      <c r="F446" s="545"/>
      <c r="H446" s="545"/>
      <c r="I446" s="545"/>
      <c r="J446" s="545"/>
      <c r="K446" s="545"/>
      <c r="L446" s="545"/>
      <c r="M446" s="545"/>
      <c r="N446" s="545"/>
      <c r="O446" s="545"/>
      <c r="P446" s="545"/>
      <c r="Q446" s="545"/>
      <c r="R446" s="545"/>
      <c r="S446" s="545"/>
      <c r="W446" s="545"/>
      <c r="X446" s="545"/>
      <c r="Y446" s="545"/>
      <c r="Z446" s="545"/>
      <c r="AA446" s="545"/>
      <c r="AB446" s="545"/>
      <c r="AC446" s="545"/>
    </row>
    <row r="447" spans="1:29" ht="12.75" customHeight="1">
      <c r="A447" s="545"/>
      <c r="B447" s="545"/>
      <c r="C447" s="545"/>
      <c r="D447" s="545"/>
      <c r="E447" s="545"/>
      <c r="F447" s="545"/>
      <c r="H447" s="545"/>
      <c r="I447" s="545"/>
      <c r="J447" s="545"/>
      <c r="K447" s="545"/>
      <c r="L447" s="545"/>
      <c r="M447" s="545"/>
      <c r="N447" s="545"/>
      <c r="O447" s="545"/>
      <c r="P447" s="545"/>
      <c r="Q447" s="545"/>
      <c r="R447" s="545"/>
      <c r="S447" s="545"/>
      <c r="W447" s="545"/>
      <c r="X447" s="545"/>
      <c r="Y447" s="545"/>
      <c r="Z447" s="545"/>
      <c r="AA447" s="545"/>
      <c r="AB447" s="545"/>
      <c r="AC447" s="545"/>
    </row>
    <row r="448" spans="1:29" ht="12.75" customHeight="1">
      <c r="A448" s="545"/>
      <c r="B448" s="545"/>
      <c r="C448" s="545"/>
      <c r="D448" s="545"/>
      <c r="E448" s="545"/>
      <c r="F448" s="545"/>
      <c r="H448" s="545"/>
      <c r="I448" s="545"/>
      <c r="J448" s="545"/>
      <c r="K448" s="545"/>
      <c r="L448" s="545"/>
      <c r="M448" s="545"/>
      <c r="N448" s="545"/>
      <c r="O448" s="545"/>
      <c r="P448" s="545"/>
      <c r="Q448" s="545"/>
      <c r="R448" s="545"/>
      <c r="S448" s="545"/>
      <c r="W448" s="545"/>
      <c r="X448" s="545"/>
      <c r="Y448" s="545"/>
      <c r="Z448" s="545"/>
      <c r="AA448" s="545"/>
      <c r="AB448" s="545"/>
      <c r="AC448" s="545"/>
    </row>
    <row r="449" spans="1:29" ht="12.75" customHeight="1">
      <c r="A449" s="545"/>
      <c r="B449" s="545"/>
      <c r="C449" s="545"/>
      <c r="D449" s="545"/>
      <c r="E449" s="545"/>
      <c r="F449" s="545"/>
      <c r="H449" s="545"/>
      <c r="I449" s="545"/>
      <c r="J449" s="545"/>
      <c r="K449" s="545"/>
      <c r="L449" s="545"/>
      <c r="M449" s="545"/>
      <c r="N449" s="545"/>
      <c r="O449" s="545"/>
      <c r="P449" s="545"/>
      <c r="Q449" s="545"/>
      <c r="R449" s="545"/>
      <c r="S449" s="545"/>
      <c r="W449" s="545"/>
      <c r="X449" s="545"/>
      <c r="Y449" s="545"/>
      <c r="Z449" s="545"/>
      <c r="AA449" s="545"/>
      <c r="AB449" s="545"/>
      <c r="AC449" s="545"/>
    </row>
    <row r="450" spans="1:29" ht="12.75" customHeight="1">
      <c r="A450" s="545"/>
      <c r="B450" s="545"/>
      <c r="C450" s="545"/>
      <c r="D450" s="545"/>
      <c r="E450" s="545"/>
      <c r="F450" s="545"/>
      <c r="H450" s="545"/>
      <c r="I450" s="545"/>
      <c r="J450" s="545"/>
      <c r="K450" s="545"/>
      <c r="L450" s="545"/>
      <c r="M450" s="545"/>
      <c r="N450" s="545"/>
      <c r="O450" s="545"/>
      <c r="P450" s="545"/>
      <c r="Q450" s="545"/>
      <c r="R450" s="545"/>
      <c r="S450" s="545"/>
      <c r="W450" s="545"/>
      <c r="X450" s="545"/>
      <c r="Y450" s="545"/>
      <c r="Z450" s="545"/>
      <c r="AA450" s="545"/>
      <c r="AB450" s="545"/>
      <c r="AC450" s="545"/>
    </row>
    <row r="451" spans="1:29" ht="12.75" customHeight="1">
      <c r="A451" s="545"/>
      <c r="B451" s="545"/>
      <c r="C451" s="545"/>
      <c r="D451" s="545"/>
      <c r="E451" s="545"/>
      <c r="F451" s="545"/>
      <c r="H451" s="545"/>
      <c r="I451" s="545"/>
      <c r="J451" s="545"/>
      <c r="K451" s="545"/>
      <c r="L451" s="545"/>
      <c r="M451" s="545"/>
      <c r="N451" s="545"/>
      <c r="O451" s="545"/>
      <c r="P451" s="545"/>
      <c r="Q451" s="545"/>
      <c r="R451" s="545"/>
      <c r="S451" s="545"/>
      <c r="W451" s="545"/>
      <c r="X451" s="545"/>
      <c r="Y451" s="545"/>
      <c r="Z451" s="545"/>
      <c r="AA451" s="545"/>
      <c r="AB451" s="545"/>
      <c r="AC451" s="545"/>
    </row>
    <row r="452" spans="1:29" ht="12.75" customHeight="1">
      <c r="A452" s="545"/>
      <c r="B452" s="545"/>
      <c r="C452" s="545"/>
      <c r="D452" s="545"/>
      <c r="E452" s="545"/>
      <c r="F452" s="545"/>
      <c r="H452" s="545"/>
      <c r="I452" s="545"/>
      <c r="J452" s="545"/>
      <c r="K452" s="545"/>
      <c r="L452" s="545"/>
      <c r="M452" s="545"/>
      <c r="N452" s="545"/>
      <c r="O452" s="545"/>
      <c r="P452" s="545"/>
      <c r="Q452" s="545"/>
      <c r="R452" s="545"/>
      <c r="S452" s="545"/>
      <c r="W452" s="545"/>
      <c r="X452" s="545"/>
      <c r="Y452" s="545"/>
      <c r="Z452" s="545"/>
      <c r="AA452" s="545"/>
      <c r="AB452" s="545"/>
      <c r="AC452" s="545"/>
    </row>
    <row r="453" spans="1:29" ht="12.75" customHeight="1">
      <c r="A453" s="545"/>
      <c r="B453" s="545"/>
      <c r="C453" s="545"/>
      <c r="D453" s="545"/>
      <c r="E453" s="545"/>
      <c r="F453" s="545"/>
      <c r="H453" s="545"/>
      <c r="I453" s="545"/>
      <c r="J453" s="545"/>
      <c r="K453" s="545"/>
      <c r="L453" s="545"/>
      <c r="M453" s="545"/>
      <c r="N453" s="545"/>
      <c r="O453" s="545"/>
      <c r="P453" s="545"/>
      <c r="Q453" s="545"/>
      <c r="R453" s="545"/>
      <c r="S453" s="545"/>
      <c r="W453" s="545"/>
      <c r="X453" s="545"/>
      <c r="Y453" s="545"/>
      <c r="Z453" s="545"/>
      <c r="AA453" s="545"/>
      <c r="AB453" s="545"/>
      <c r="AC453" s="545"/>
    </row>
    <row r="454" spans="1:29" ht="12.75" customHeight="1">
      <c r="A454" s="545"/>
      <c r="B454" s="545"/>
      <c r="C454" s="545"/>
      <c r="D454" s="545"/>
      <c r="E454" s="545"/>
      <c r="F454" s="545"/>
      <c r="H454" s="545"/>
      <c r="I454" s="545"/>
      <c r="J454" s="545"/>
      <c r="K454" s="545"/>
      <c r="L454" s="545"/>
      <c r="M454" s="545"/>
      <c r="N454" s="545"/>
      <c r="O454" s="545"/>
      <c r="P454" s="545"/>
      <c r="Q454" s="545"/>
      <c r="R454" s="545"/>
      <c r="S454" s="545"/>
      <c r="W454" s="545"/>
      <c r="X454" s="545"/>
      <c r="Y454" s="545"/>
      <c r="Z454" s="545"/>
      <c r="AA454" s="545"/>
      <c r="AB454" s="545"/>
      <c r="AC454" s="545"/>
    </row>
    <row r="455" spans="1:29" ht="12.75" customHeight="1">
      <c r="A455" s="545"/>
      <c r="B455" s="545"/>
      <c r="C455" s="545"/>
      <c r="D455" s="545"/>
      <c r="E455" s="545"/>
      <c r="F455" s="545"/>
      <c r="H455" s="545"/>
      <c r="I455" s="545"/>
      <c r="J455" s="545"/>
      <c r="K455" s="545"/>
      <c r="L455" s="545"/>
      <c r="M455" s="545"/>
      <c r="N455" s="545"/>
      <c r="O455" s="545"/>
      <c r="P455" s="545"/>
      <c r="Q455" s="545"/>
      <c r="R455" s="545"/>
      <c r="S455" s="545"/>
      <c r="W455" s="545"/>
      <c r="X455" s="545"/>
      <c r="Y455" s="545"/>
      <c r="Z455" s="545"/>
      <c r="AA455" s="545"/>
      <c r="AB455" s="545"/>
      <c r="AC455" s="545"/>
    </row>
    <row r="456" spans="1:29" ht="12.75" customHeight="1">
      <c r="A456" s="545"/>
      <c r="B456" s="545"/>
      <c r="C456" s="545"/>
      <c r="D456" s="545"/>
      <c r="E456" s="545"/>
      <c r="F456" s="545"/>
      <c r="H456" s="545"/>
      <c r="I456" s="545"/>
      <c r="J456" s="545"/>
      <c r="K456" s="545"/>
      <c r="L456" s="545"/>
      <c r="M456" s="545"/>
      <c r="N456" s="545"/>
      <c r="O456" s="545"/>
      <c r="P456" s="545"/>
      <c r="Q456" s="545"/>
      <c r="R456" s="545"/>
      <c r="S456" s="545"/>
      <c r="W456" s="545"/>
      <c r="X456" s="545"/>
      <c r="Y456" s="545"/>
      <c r="Z456" s="545"/>
      <c r="AA456" s="545"/>
      <c r="AB456" s="545"/>
      <c r="AC456" s="545"/>
    </row>
    <row r="457" spans="1:29" ht="12.75" customHeight="1">
      <c r="A457" s="545"/>
      <c r="B457" s="545"/>
      <c r="C457" s="545"/>
      <c r="D457" s="545"/>
      <c r="E457" s="545"/>
      <c r="F457" s="545"/>
      <c r="H457" s="545"/>
      <c r="I457" s="545"/>
      <c r="J457" s="545"/>
      <c r="K457" s="545"/>
      <c r="L457" s="545"/>
      <c r="M457" s="545"/>
      <c r="N457" s="545"/>
      <c r="O457" s="545"/>
      <c r="P457" s="545"/>
      <c r="Q457" s="545"/>
      <c r="R457" s="545"/>
      <c r="S457" s="545"/>
      <c r="W457" s="545"/>
      <c r="X457" s="545"/>
      <c r="Y457" s="545"/>
      <c r="Z457" s="545"/>
      <c r="AA457" s="545"/>
      <c r="AB457" s="545"/>
      <c r="AC457" s="545"/>
    </row>
    <row r="458" spans="1:29" ht="12.75" customHeight="1">
      <c r="A458" s="545"/>
      <c r="B458" s="545"/>
      <c r="C458" s="545"/>
      <c r="D458" s="545"/>
      <c r="E458" s="545"/>
      <c r="F458" s="545"/>
      <c r="H458" s="545"/>
      <c r="I458" s="545"/>
      <c r="J458" s="545"/>
      <c r="K458" s="545"/>
      <c r="L458" s="545"/>
      <c r="M458" s="545"/>
      <c r="N458" s="545"/>
      <c r="O458" s="545"/>
      <c r="P458" s="545"/>
      <c r="Q458" s="545"/>
      <c r="R458" s="545"/>
      <c r="S458" s="545"/>
      <c r="W458" s="545"/>
      <c r="X458" s="545"/>
      <c r="Y458" s="545"/>
      <c r="Z458" s="545"/>
      <c r="AA458" s="545"/>
      <c r="AB458" s="545"/>
      <c r="AC458" s="545"/>
    </row>
    <row r="459" spans="1:29" ht="12.75" customHeight="1">
      <c r="A459" s="545"/>
      <c r="B459" s="545"/>
      <c r="C459" s="545"/>
      <c r="D459" s="545"/>
      <c r="E459" s="545"/>
      <c r="F459" s="545"/>
      <c r="H459" s="545"/>
      <c r="I459" s="545"/>
      <c r="J459" s="545"/>
      <c r="K459" s="545"/>
      <c r="L459" s="545"/>
      <c r="M459" s="545"/>
      <c r="N459" s="545"/>
      <c r="O459" s="545"/>
      <c r="P459" s="545"/>
      <c r="Q459" s="545"/>
      <c r="R459" s="545"/>
      <c r="S459" s="545"/>
      <c r="W459" s="545"/>
      <c r="X459" s="545"/>
      <c r="Y459" s="545"/>
      <c r="Z459" s="545"/>
      <c r="AA459" s="545"/>
      <c r="AB459" s="545"/>
      <c r="AC459" s="545"/>
    </row>
    <row r="460" spans="1:29" ht="12.75" customHeight="1">
      <c r="A460" s="545"/>
      <c r="B460" s="545"/>
      <c r="C460" s="545"/>
      <c r="D460" s="545"/>
      <c r="E460" s="545"/>
      <c r="F460" s="545"/>
      <c r="H460" s="545"/>
      <c r="I460" s="545"/>
      <c r="J460" s="545"/>
      <c r="K460" s="545"/>
      <c r="L460" s="545"/>
      <c r="M460" s="545"/>
      <c r="N460" s="545"/>
      <c r="O460" s="545"/>
      <c r="P460" s="545"/>
      <c r="Q460" s="545"/>
      <c r="R460" s="545"/>
      <c r="S460" s="545"/>
      <c r="W460" s="545"/>
      <c r="X460" s="545"/>
      <c r="Y460" s="545"/>
      <c r="Z460" s="545"/>
      <c r="AA460" s="545"/>
      <c r="AB460" s="545"/>
      <c r="AC460" s="545"/>
    </row>
    <row r="461" spans="1:29" ht="12.75" customHeight="1">
      <c r="A461" s="545"/>
      <c r="B461" s="545"/>
      <c r="C461" s="545"/>
      <c r="D461" s="545"/>
      <c r="E461" s="545"/>
      <c r="F461" s="545"/>
      <c r="H461" s="545"/>
      <c r="I461" s="545"/>
      <c r="J461" s="545"/>
      <c r="K461" s="545"/>
      <c r="L461" s="545"/>
      <c r="M461" s="545"/>
      <c r="N461" s="545"/>
      <c r="O461" s="545"/>
      <c r="P461" s="545"/>
      <c r="Q461" s="545"/>
      <c r="R461" s="545"/>
      <c r="S461" s="545"/>
      <c r="W461" s="545"/>
      <c r="X461" s="545"/>
      <c r="Y461" s="545"/>
      <c r="Z461" s="545"/>
      <c r="AA461" s="545"/>
      <c r="AB461" s="545"/>
      <c r="AC461" s="545"/>
    </row>
    <row r="462" spans="1:29" ht="12.75" customHeight="1">
      <c r="A462" s="545"/>
      <c r="B462" s="545"/>
      <c r="C462" s="545"/>
      <c r="D462" s="545"/>
      <c r="E462" s="545"/>
      <c r="F462" s="545"/>
      <c r="H462" s="545"/>
      <c r="I462" s="545"/>
      <c r="J462" s="545"/>
      <c r="K462" s="545"/>
      <c r="L462" s="545"/>
      <c r="M462" s="545"/>
      <c r="N462" s="545"/>
      <c r="O462" s="545"/>
      <c r="P462" s="545"/>
      <c r="Q462" s="545"/>
      <c r="R462" s="545"/>
      <c r="S462" s="545"/>
      <c r="W462" s="545"/>
      <c r="X462" s="545"/>
      <c r="Y462" s="545"/>
      <c r="Z462" s="545"/>
      <c r="AA462" s="545"/>
      <c r="AB462" s="545"/>
      <c r="AC462" s="545"/>
    </row>
    <row r="463" spans="1:29" ht="12.75" customHeight="1">
      <c r="A463" s="545"/>
      <c r="B463" s="545"/>
      <c r="C463" s="545"/>
      <c r="D463" s="545"/>
      <c r="E463" s="545"/>
      <c r="F463" s="545"/>
      <c r="H463" s="545"/>
      <c r="I463" s="545"/>
      <c r="J463" s="545"/>
      <c r="K463" s="545"/>
      <c r="L463" s="545"/>
      <c r="M463" s="545"/>
      <c r="N463" s="545"/>
      <c r="O463" s="545"/>
      <c r="P463" s="545"/>
      <c r="Q463" s="545"/>
      <c r="R463" s="545"/>
      <c r="S463" s="545"/>
      <c r="W463" s="545"/>
      <c r="X463" s="545"/>
      <c r="Y463" s="545"/>
      <c r="Z463" s="545"/>
      <c r="AA463" s="545"/>
      <c r="AB463" s="545"/>
      <c r="AC463" s="545"/>
    </row>
    <row r="464" spans="1:29" ht="12.75" customHeight="1">
      <c r="A464" s="545"/>
      <c r="B464" s="545"/>
      <c r="C464" s="545"/>
      <c r="D464" s="545"/>
      <c r="E464" s="545"/>
      <c r="F464" s="545"/>
      <c r="H464" s="545"/>
      <c r="I464" s="545"/>
      <c r="J464" s="545"/>
      <c r="K464" s="545"/>
      <c r="L464" s="545"/>
      <c r="M464" s="545"/>
      <c r="N464" s="545"/>
      <c r="O464" s="545"/>
      <c r="P464" s="545"/>
      <c r="Q464" s="545"/>
      <c r="R464" s="545"/>
      <c r="S464" s="545"/>
      <c r="W464" s="545"/>
      <c r="X464" s="545"/>
      <c r="Y464" s="545"/>
      <c r="Z464" s="545"/>
      <c r="AA464" s="545"/>
      <c r="AB464" s="545"/>
      <c r="AC464" s="545"/>
    </row>
    <row r="465" spans="1:29" ht="12.75" customHeight="1">
      <c r="A465" s="545"/>
      <c r="B465" s="545"/>
      <c r="C465" s="545"/>
      <c r="D465" s="545"/>
      <c r="E465" s="545"/>
      <c r="F465" s="545"/>
      <c r="H465" s="545"/>
      <c r="I465" s="545"/>
      <c r="J465" s="545"/>
      <c r="K465" s="545"/>
      <c r="L465" s="545"/>
      <c r="M465" s="545"/>
      <c r="N465" s="545"/>
      <c r="O465" s="545"/>
      <c r="P465" s="545"/>
      <c r="Q465" s="545"/>
      <c r="R465" s="545"/>
      <c r="S465" s="545"/>
      <c r="W465" s="545"/>
      <c r="X465" s="545"/>
      <c r="Y465" s="545"/>
      <c r="Z465" s="545"/>
      <c r="AA465" s="545"/>
      <c r="AB465" s="545"/>
      <c r="AC465" s="545"/>
    </row>
    <row r="466" spans="1:29" ht="12.75" customHeight="1">
      <c r="A466" s="545"/>
      <c r="B466" s="545"/>
      <c r="C466" s="545"/>
      <c r="D466" s="545"/>
      <c r="E466" s="545"/>
      <c r="F466" s="545"/>
      <c r="H466" s="545"/>
      <c r="I466" s="545"/>
      <c r="J466" s="545"/>
      <c r="K466" s="545"/>
      <c r="L466" s="545"/>
      <c r="M466" s="545"/>
      <c r="N466" s="545"/>
      <c r="O466" s="545"/>
      <c r="P466" s="545"/>
      <c r="Q466" s="545"/>
      <c r="R466" s="545"/>
      <c r="S466" s="545"/>
      <c r="W466" s="545"/>
      <c r="X466" s="545"/>
      <c r="Y466" s="545"/>
      <c r="Z466" s="545"/>
      <c r="AA466" s="545"/>
      <c r="AB466" s="545"/>
      <c r="AC466" s="545"/>
    </row>
    <row r="467" spans="1:29" ht="12.75" customHeight="1">
      <c r="A467" s="545"/>
      <c r="B467" s="545"/>
      <c r="C467" s="545"/>
      <c r="D467" s="545"/>
      <c r="E467" s="545"/>
      <c r="F467" s="545"/>
      <c r="H467" s="545"/>
      <c r="I467" s="545"/>
      <c r="J467" s="545"/>
      <c r="K467" s="545"/>
      <c r="L467" s="545"/>
      <c r="M467" s="545"/>
      <c r="N467" s="545"/>
      <c r="O467" s="545"/>
      <c r="P467" s="545"/>
      <c r="Q467" s="545"/>
      <c r="R467" s="545"/>
      <c r="S467" s="545"/>
      <c r="W467" s="545"/>
      <c r="X467" s="545"/>
      <c r="Y467" s="545"/>
      <c r="Z467" s="545"/>
      <c r="AA467" s="545"/>
      <c r="AB467" s="545"/>
      <c r="AC467" s="545"/>
    </row>
    <row r="468" spans="1:29" ht="12.75" customHeight="1">
      <c r="A468" s="545"/>
      <c r="B468" s="545"/>
      <c r="C468" s="545"/>
      <c r="D468" s="545"/>
      <c r="E468" s="545"/>
      <c r="F468" s="545"/>
      <c r="H468" s="545"/>
      <c r="I468" s="545"/>
      <c r="J468" s="545"/>
      <c r="K468" s="545"/>
      <c r="L468" s="545"/>
      <c r="M468" s="545"/>
      <c r="N468" s="545"/>
      <c r="O468" s="545"/>
      <c r="P468" s="545"/>
      <c r="Q468" s="545"/>
      <c r="R468" s="545"/>
      <c r="S468" s="545"/>
      <c r="W468" s="545"/>
      <c r="X468" s="545"/>
      <c r="Y468" s="545"/>
      <c r="Z468" s="545"/>
      <c r="AA468" s="545"/>
      <c r="AB468" s="545"/>
      <c r="AC468" s="545"/>
    </row>
    <row r="469" spans="1:29" ht="12.75" customHeight="1">
      <c r="A469" s="545"/>
      <c r="B469" s="545"/>
      <c r="C469" s="545"/>
      <c r="D469" s="545"/>
      <c r="E469" s="545"/>
      <c r="F469" s="545"/>
      <c r="H469" s="545"/>
      <c r="I469" s="545"/>
      <c r="J469" s="545"/>
      <c r="K469" s="545"/>
      <c r="L469" s="545"/>
      <c r="M469" s="545"/>
      <c r="N469" s="545"/>
      <c r="O469" s="545"/>
      <c r="P469" s="545"/>
      <c r="Q469" s="545"/>
      <c r="R469" s="545"/>
      <c r="S469" s="545"/>
      <c r="W469" s="545"/>
      <c r="X469" s="545"/>
      <c r="Y469" s="545"/>
      <c r="Z469" s="545"/>
      <c r="AA469" s="545"/>
      <c r="AB469" s="545"/>
      <c r="AC469" s="545"/>
    </row>
    <row r="470" spans="1:29" ht="12.75" customHeight="1">
      <c r="A470" s="545"/>
      <c r="B470" s="545"/>
      <c r="C470" s="545"/>
      <c r="D470" s="545"/>
      <c r="E470" s="545"/>
      <c r="F470" s="545"/>
      <c r="H470" s="545"/>
      <c r="I470" s="545"/>
      <c r="J470" s="545"/>
      <c r="K470" s="545"/>
      <c r="L470" s="545"/>
      <c r="M470" s="545"/>
      <c r="N470" s="545"/>
      <c r="O470" s="545"/>
      <c r="P470" s="545"/>
      <c r="Q470" s="545"/>
      <c r="R470" s="545"/>
      <c r="S470" s="545"/>
      <c r="W470" s="545"/>
      <c r="X470" s="545"/>
      <c r="Y470" s="545"/>
      <c r="Z470" s="545"/>
      <c r="AA470" s="545"/>
      <c r="AB470" s="545"/>
      <c r="AC470" s="545"/>
    </row>
    <row r="471" spans="1:29" ht="12.75" customHeight="1">
      <c r="A471" s="545"/>
      <c r="B471" s="545"/>
      <c r="C471" s="545"/>
      <c r="D471" s="545"/>
      <c r="E471" s="545"/>
      <c r="F471" s="545"/>
      <c r="H471" s="545"/>
      <c r="I471" s="545"/>
      <c r="J471" s="545"/>
      <c r="K471" s="545"/>
      <c r="L471" s="545"/>
      <c r="M471" s="545"/>
      <c r="N471" s="545"/>
      <c r="O471" s="545"/>
      <c r="P471" s="545"/>
      <c r="Q471" s="545"/>
      <c r="R471" s="545"/>
      <c r="S471" s="545"/>
      <c r="W471" s="545"/>
      <c r="X471" s="545"/>
      <c r="Y471" s="545"/>
      <c r="Z471" s="545"/>
      <c r="AA471" s="545"/>
      <c r="AB471" s="545"/>
      <c r="AC471" s="545"/>
    </row>
    <row r="472" spans="1:29" ht="12.75" customHeight="1">
      <c r="A472" s="545"/>
      <c r="B472" s="545"/>
      <c r="C472" s="545"/>
      <c r="D472" s="545"/>
      <c r="E472" s="545"/>
      <c r="F472" s="545"/>
      <c r="H472" s="545"/>
      <c r="I472" s="545"/>
      <c r="J472" s="545"/>
      <c r="K472" s="545"/>
      <c r="L472" s="545"/>
      <c r="M472" s="545"/>
      <c r="N472" s="545"/>
      <c r="O472" s="545"/>
      <c r="P472" s="545"/>
      <c r="Q472" s="545"/>
      <c r="R472" s="545"/>
      <c r="S472" s="545"/>
      <c r="W472" s="545"/>
      <c r="X472" s="545"/>
      <c r="Y472" s="545"/>
      <c r="Z472" s="545"/>
      <c r="AA472" s="545"/>
      <c r="AB472" s="545"/>
      <c r="AC472" s="545"/>
    </row>
    <row r="473" spans="1:29" ht="12.75" customHeight="1">
      <c r="A473" s="545"/>
      <c r="B473" s="545"/>
      <c r="C473" s="545"/>
      <c r="D473" s="545"/>
      <c r="E473" s="545"/>
      <c r="F473" s="545"/>
      <c r="H473" s="545"/>
      <c r="I473" s="545"/>
      <c r="J473" s="545"/>
      <c r="K473" s="545"/>
      <c r="L473" s="545"/>
      <c r="M473" s="545"/>
      <c r="N473" s="545"/>
      <c r="O473" s="545"/>
      <c r="P473" s="545"/>
      <c r="Q473" s="545"/>
      <c r="R473" s="545"/>
      <c r="S473" s="545"/>
      <c r="W473" s="545"/>
      <c r="X473" s="545"/>
      <c r="Y473" s="545"/>
      <c r="Z473" s="545"/>
      <c r="AA473" s="545"/>
      <c r="AB473" s="545"/>
      <c r="AC473" s="545"/>
    </row>
    <row r="474" spans="1:29" ht="12.75" customHeight="1">
      <c r="A474" s="545"/>
      <c r="B474" s="545"/>
      <c r="C474" s="545"/>
      <c r="D474" s="545"/>
      <c r="E474" s="545"/>
      <c r="F474" s="545"/>
      <c r="H474" s="545"/>
      <c r="I474" s="545"/>
      <c r="J474" s="545"/>
      <c r="K474" s="545"/>
      <c r="L474" s="545"/>
      <c r="M474" s="545"/>
      <c r="N474" s="545"/>
      <c r="O474" s="545"/>
      <c r="P474" s="545"/>
      <c r="Q474" s="545"/>
      <c r="R474" s="545"/>
      <c r="S474" s="545"/>
      <c r="W474" s="545"/>
      <c r="X474" s="545"/>
      <c r="Y474" s="545"/>
      <c r="Z474" s="545"/>
      <c r="AA474" s="545"/>
      <c r="AB474" s="545"/>
      <c r="AC474" s="545"/>
    </row>
    <row r="475" spans="1:29" ht="12.75" customHeight="1">
      <c r="A475" s="545"/>
      <c r="B475" s="545"/>
      <c r="C475" s="545"/>
      <c r="D475" s="545"/>
      <c r="E475" s="545"/>
      <c r="F475" s="545"/>
      <c r="H475" s="545"/>
      <c r="I475" s="545"/>
      <c r="J475" s="545"/>
      <c r="K475" s="545"/>
      <c r="L475" s="545"/>
      <c r="M475" s="545"/>
      <c r="N475" s="545"/>
      <c r="O475" s="545"/>
      <c r="P475" s="545"/>
      <c r="Q475" s="545"/>
      <c r="R475" s="545"/>
      <c r="S475" s="545"/>
      <c r="W475" s="545"/>
      <c r="X475" s="545"/>
      <c r="Y475" s="545"/>
      <c r="Z475" s="545"/>
      <c r="AA475" s="545"/>
      <c r="AB475" s="545"/>
      <c r="AC475" s="545"/>
    </row>
    <row r="476" spans="1:29" ht="12.75" customHeight="1">
      <c r="A476" s="545"/>
      <c r="B476" s="545"/>
      <c r="C476" s="545"/>
      <c r="D476" s="545"/>
      <c r="E476" s="545"/>
      <c r="F476" s="545"/>
      <c r="H476" s="545"/>
      <c r="I476" s="545"/>
      <c r="J476" s="545"/>
      <c r="K476" s="545"/>
      <c r="L476" s="545"/>
      <c r="M476" s="545"/>
      <c r="N476" s="545"/>
      <c r="O476" s="545"/>
      <c r="P476" s="545"/>
      <c r="Q476" s="545"/>
      <c r="R476" s="545"/>
      <c r="S476" s="545"/>
      <c r="W476" s="545"/>
      <c r="X476" s="545"/>
      <c r="Y476" s="545"/>
      <c r="Z476" s="545"/>
      <c r="AA476" s="545"/>
      <c r="AB476" s="545"/>
      <c r="AC476" s="545"/>
    </row>
    <row r="477" spans="1:29" ht="12.75" customHeight="1">
      <c r="A477" s="545"/>
      <c r="B477" s="545"/>
      <c r="C477" s="545"/>
      <c r="D477" s="545"/>
      <c r="E477" s="545"/>
      <c r="F477" s="545"/>
      <c r="H477" s="545"/>
      <c r="I477" s="545"/>
      <c r="J477" s="545"/>
      <c r="K477" s="545"/>
      <c r="L477" s="545"/>
      <c r="M477" s="545"/>
      <c r="N477" s="545"/>
      <c r="O477" s="545"/>
      <c r="P477" s="545"/>
      <c r="Q477" s="545"/>
      <c r="R477" s="545"/>
      <c r="S477" s="545"/>
      <c r="W477" s="545"/>
      <c r="X477" s="545"/>
      <c r="Y477" s="545"/>
      <c r="Z477" s="545"/>
      <c r="AA477" s="545"/>
      <c r="AB477" s="545"/>
      <c r="AC477" s="545"/>
    </row>
    <row r="478" spans="1:29" ht="12.75" customHeight="1">
      <c r="A478" s="545"/>
      <c r="B478" s="545"/>
      <c r="C478" s="545"/>
      <c r="D478" s="545"/>
      <c r="E478" s="545"/>
      <c r="F478" s="545"/>
      <c r="H478" s="545"/>
      <c r="I478" s="545"/>
      <c r="J478" s="545"/>
      <c r="K478" s="545"/>
      <c r="L478" s="545"/>
      <c r="M478" s="545"/>
      <c r="N478" s="545"/>
      <c r="O478" s="545"/>
      <c r="P478" s="545"/>
      <c r="Q478" s="545"/>
      <c r="R478" s="545"/>
      <c r="S478" s="545"/>
      <c r="W478" s="545"/>
      <c r="X478" s="545"/>
      <c r="Y478" s="545"/>
      <c r="Z478" s="545"/>
      <c r="AA478" s="545"/>
      <c r="AB478" s="545"/>
      <c r="AC478" s="545"/>
    </row>
    <row r="479" spans="1:29" ht="12.75" customHeight="1">
      <c r="A479" s="545"/>
      <c r="B479" s="545"/>
      <c r="C479" s="545"/>
      <c r="D479" s="545"/>
      <c r="E479" s="545"/>
      <c r="F479" s="545"/>
      <c r="H479" s="545"/>
      <c r="I479" s="545"/>
      <c r="J479" s="545"/>
      <c r="K479" s="545"/>
      <c r="L479" s="545"/>
      <c r="M479" s="545"/>
      <c r="N479" s="545"/>
      <c r="O479" s="545"/>
      <c r="P479" s="545"/>
      <c r="Q479" s="545"/>
      <c r="R479" s="545"/>
      <c r="S479" s="545"/>
      <c r="W479" s="545"/>
      <c r="X479" s="545"/>
      <c r="Y479" s="545"/>
      <c r="Z479" s="545"/>
      <c r="AA479" s="545"/>
      <c r="AB479" s="545"/>
      <c r="AC479" s="545"/>
    </row>
    <row r="480" spans="1:29" ht="12.75" customHeight="1">
      <c r="A480" s="545"/>
      <c r="B480" s="545"/>
      <c r="C480" s="545"/>
      <c r="D480" s="545"/>
      <c r="E480" s="545"/>
      <c r="F480" s="545"/>
      <c r="H480" s="545"/>
      <c r="I480" s="545"/>
      <c r="J480" s="545"/>
      <c r="K480" s="545"/>
      <c r="L480" s="545"/>
      <c r="M480" s="545"/>
      <c r="N480" s="545"/>
      <c r="O480" s="545"/>
      <c r="P480" s="545"/>
      <c r="Q480" s="545"/>
      <c r="R480" s="545"/>
      <c r="S480" s="545"/>
      <c r="W480" s="545"/>
      <c r="X480" s="545"/>
      <c r="Y480" s="545"/>
      <c r="Z480" s="545"/>
      <c r="AA480" s="545"/>
      <c r="AB480" s="545"/>
      <c r="AC480" s="545"/>
    </row>
    <row r="481" spans="1:29" ht="12.75" customHeight="1">
      <c r="A481" s="545"/>
      <c r="B481" s="545"/>
      <c r="C481" s="545"/>
      <c r="D481" s="545"/>
      <c r="E481" s="545"/>
      <c r="F481" s="545"/>
      <c r="H481" s="545"/>
      <c r="I481" s="545"/>
      <c r="J481" s="545"/>
      <c r="K481" s="545"/>
      <c r="L481" s="545"/>
      <c r="M481" s="545"/>
      <c r="N481" s="545"/>
      <c r="O481" s="545"/>
      <c r="P481" s="545"/>
      <c r="Q481" s="545"/>
      <c r="R481" s="545"/>
      <c r="S481" s="545"/>
      <c r="W481" s="545"/>
      <c r="X481" s="545"/>
      <c r="Y481" s="545"/>
      <c r="Z481" s="545"/>
      <c r="AA481" s="545"/>
      <c r="AB481" s="545"/>
      <c r="AC481" s="545"/>
    </row>
    <row r="482" spans="1:29" ht="12.75" customHeight="1">
      <c r="A482" s="545"/>
      <c r="B482" s="545"/>
      <c r="C482" s="545"/>
      <c r="D482" s="545"/>
      <c r="E482" s="545"/>
      <c r="F482" s="545"/>
      <c r="H482" s="545"/>
      <c r="I482" s="545"/>
      <c r="J482" s="545"/>
      <c r="K482" s="545"/>
      <c r="L482" s="545"/>
      <c r="M482" s="545"/>
      <c r="N482" s="545"/>
      <c r="O482" s="545"/>
      <c r="P482" s="545"/>
      <c r="Q482" s="545"/>
      <c r="R482" s="545"/>
      <c r="S482" s="545"/>
      <c r="W482" s="545"/>
      <c r="X482" s="545"/>
      <c r="Y482" s="545"/>
      <c r="Z482" s="545"/>
      <c r="AA482" s="545"/>
      <c r="AB482" s="545"/>
      <c r="AC482" s="545"/>
    </row>
    <row r="483" spans="1:29" ht="12.75" customHeight="1">
      <c r="A483" s="545"/>
      <c r="B483" s="545"/>
      <c r="C483" s="545"/>
      <c r="D483" s="545"/>
      <c r="E483" s="545"/>
      <c r="F483" s="545"/>
      <c r="H483" s="545"/>
      <c r="I483" s="545"/>
      <c r="J483" s="545"/>
      <c r="K483" s="545"/>
      <c r="L483" s="545"/>
      <c r="M483" s="545"/>
      <c r="N483" s="545"/>
      <c r="O483" s="545"/>
      <c r="P483" s="545"/>
      <c r="Q483" s="545"/>
      <c r="R483" s="545"/>
      <c r="S483" s="545"/>
      <c r="W483" s="545"/>
      <c r="X483" s="545"/>
      <c r="Y483" s="545"/>
      <c r="Z483" s="545"/>
      <c r="AA483" s="545"/>
      <c r="AB483" s="545"/>
      <c r="AC483" s="545"/>
    </row>
    <row r="484" spans="1:29" ht="12.75" customHeight="1">
      <c r="A484" s="545"/>
      <c r="B484" s="545"/>
      <c r="C484" s="545"/>
      <c r="D484" s="545"/>
      <c r="E484" s="545"/>
      <c r="F484" s="545"/>
      <c r="H484" s="545"/>
      <c r="I484" s="545"/>
      <c r="J484" s="545"/>
      <c r="K484" s="545"/>
      <c r="L484" s="545"/>
      <c r="M484" s="545"/>
      <c r="N484" s="545"/>
      <c r="O484" s="545"/>
      <c r="P484" s="545"/>
      <c r="Q484" s="545"/>
      <c r="R484" s="545"/>
      <c r="S484" s="545"/>
      <c r="W484" s="545"/>
      <c r="X484" s="545"/>
      <c r="Y484" s="545"/>
      <c r="Z484" s="545"/>
      <c r="AA484" s="545"/>
      <c r="AB484" s="545"/>
      <c r="AC484" s="545"/>
    </row>
    <row r="485" spans="1:29" ht="12.75" customHeight="1">
      <c r="A485" s="545"/>
      <c r="B485" s="545"/>
      <c r="C485" s="545"/>
      <c r="D485" s="545"/>
      <c r="E485" s="545"/>
      <c r="F485" s="545"/>
      <c r="H485" s="545"/>
      <c r="I485" s="545"/>
      <c r="J485" s="545"/>
      <c r="K485" s="545"/>
      <c r="L485" s="545"/>
      <c r="M485" s="545"/>
      <c r="N485" s="545"/>
      <c r="O485" s="545"/>
      <c r="P485" s="545"/>
      <c r="Q485" s="545"/>
      <c r="R485" s="545"/>
      <c r="S485" s="545"/>
      <c r="W485" s="545"/>
      <c r="X485" s="545"/>
      <c r="Y485" s="545"/>
      <c r="Z485" s="545"/>
      <c r="AA485" s="545"/>
      <c r="AB485" s="545"/>
      <c r="AC485" s="545"/>
    </row>
    <row r="486" spans="1:29" ht="12.75" customHeight="1">
      <c r="A486" s="545"/>
      <c r="B486" s="545"/>
      <c r="C486" s="545"/>
      <c r="D486" s="545"/>
      <c r="E486" s="545"/>
      <c r="F486" s="545"/>
      <c r="H486" s="545"/>
      <c r="I486" s="545"/>
      <c r="J486" s="545"/>
      <c r="K486" s="545"/>
      <c r="L486" s="545"/>
      <c r="M486" s="545"/>
      <c r="N486" s="545"/>
      <c r="O486" s="545"/>
      <c r="P486" s="545"/>
      <c r="Q486" s="545"/>
      <c r="R486" s="545"/>
      <c r="S486" s="545"/>
      <c r="W486" s="545"/>
      <c r="X486" s="545"/>
      <c r="Y486" s="545"/>
      <c r="Z486" s="545"/>
      <c r="AA486" s="545"/>
      <c r="AB486" s="545"/>
      <c r="AC486" s="545"/>
    </row>
    <row r="487" spans="1:29" ht="12.75" customHeight="1">
      <c r="A487" s="545"/>
      <c r="B487" s="545"/>
      <c r="C487" s="545"/>
      <c r="D487" s="545"/>
      <c r="E487" s="545"/>
      <c r="F487" s="545"/>
      <c r="H487" s="545"/>
      <c r="I487" s="545"/>
      <c r="J487" s="545"/>
      <c r="K487" s="545"/>
      <c r="L487" s="545"/>
      <c r="M487" s="545"/>
      <c r="N487" s="545"/>
      <c r="O487" s="545"/>
      <c r="P487" s="545"/>
      <c r="Q487" s="545"/>
      <c r="R487" s="545"/>
      <c r="S487" s="545"/>
      <c r="W487" s="545"/>
      <c r="X487" s="545"/>
      <c r="Y487" s="545"/>
      <c r="Z487" s="545"/>
      <c r="AA487" s="545"/>
      <c r="AB487" s="545"/>
      <c r="AC487" s="545"/>
    </row>
    <row r="488" spans="1:29" ht="12.75" customHeight="1">
      <c r="A488" s="545"/>
      <c r="B488" s="545"/>
      <c r="C488" s="545"/>
      <c r="D488" s="545"/>
      <c r="E488" s="545"/>
      <c r="F488" s="545"/>
      <c r="H488" s="545"/>
      <c r="I488" s="545"/>
      <c r="J488" s="545"/>
      <c r="K488" s="545"/>
      <c r="L488" s="545"/>
      <c r="M488" s="545"/>
      <c r="N488" s="545"/>
      <c r="O488" s="545"/>
      <c r="P488" s="545"/>
      <c r="Q488" s="545"/>
      <c r="R488" s="545"/>
      <c r="S488" s="545"/>
      <c r="W488" s="545"/>
      <c r="X488" s="545"/>
      <c r="Y488" s="545"/>
      <c r="Z488" s="545"/>
      <c r="AA488" s="545"/>
      <c r="AB488" s="545"/>
      <c r="AC488" s="545"/>
    </row>
    <row r="489" spans="1:29" ht="12.75" customHeight="1">
      <c r="A489" s="545"/>
      <c r="B489" s="545"/>
      <c r="C489" s="545"/>
      <c r="D489" s="545"/>
      <c r="E489" s="545"/>
      <c r="F489" s="545"/>
      <c r="H489" s="545"/>
      <c r="I489" s="545"/>
      <c r="J489" s="545"/>
      <c r="K489" s="545"/>
      <c r="L489" s="545"/>
      <c r="M489" s="545"/>
      <c r="N489" s="545"/>
      <c r="O489" s="545"/>
      <c r="P489" s="545"/>
      <c r="Q489" s="545"/>
      <c r="R489" s="545"/>
      <c r="S489" s="545"/>
      <c r="W489" s="545"/>
      <c r="X489" s="545"/>
      <c r="Y489" s="545"/>
      <c r="Z489" s="545"/>
      <c r="AA489" s="545"/>
      <c r="AB489" s="545"/>
      <c r="AC489" s="545"/>
    </row>
    <row r="490" spans="1:29" ht="12.75" customHeight="1">
      <c r="A490" s="545"/>
      <c r="B490" s="545"/>
      <c r="C490" s="545"/>
      <c r="D490" s="545"/>
      <c r="E490" s="545"/>
      <c r="F490" s="545"/>
      <c r="H490" s="545"/>
      <c r="I490" s="545"/>
      <c r="J490" s="545"/>
      <c r="K490" s="545"/>
      <c r="L490" s="545"/>
      <c r="M490" s="545"/>
      <c r="N490" s="545"/>
      <c r="O490" s="545"/>
      <c r="P490" s="545"/>
      <c r="Q490" s="545"/>
      <c r="R490" s="545"/>
      <c r="S490" s="545"/>
      <c r="W490" s="545"/>
      <c r="X490" s="545"/>
      <c r="Y490" s="545"/>
      <c r="Z490" s="545"/>
      <c r="AA490" s="545"/>
      <c r="AB490" s="545"/>
      <c r="AC490" s="545"/>
    </row>
    <row r="491" spans="1:29" ht="12.75" customHeight="1">
      <c r="A491" s="545"/>
      <c r="B491" s="545"/>
      <c r="C491" s="545"/>
      <c r="D491" s="545"/>
      <c r="E491" s="545"/>
      <c r="F491" s="545"/>
      <c r="H491" s="545"/>
      <c r="I491" s="545"/>
      <c r="J491" s="545"/>
      <c r="K491" s="545"/>
      <c r="L491" s="545"/>
      <c r="M491" s="545"/>
      <c r="N491" s="545"/>
      <c r="O491" s="545"/>
      <c r="P491" s="545"/>
      <c r="Q491" s="545"/>
      <c r="R491" s="545"/>
      <c r="S491" s="545"/>
      <c r="W491" s="545"/>
      <c r="X491" s="545"/>
      <c r="Y491" s="545"/>
      <c r="Z491" s="545"/>
      <c r="AA491" s="545"/>
      <c r="AB491" s="545"/>
      <c r="AC491" s="545"/>
    </row>
    <row r="492" spans="1:29" ht="12.75" customHeight="1">
      <c r="A492" s="545"/>
      <c r="B492" s="545"/>
      <c r="C492" s="545"/>
      <c r="D492" s="545"/>
      <c r="E492" s="545"/>
      <c r="F492" s="545"/>
      <c r="H492" s="545"/>
      <c r="I492" s="545"/>
      <c r="J492" s="545"/>
      <c r="K492" s="545"/>
      <c r="L492" s="545"/>
      <c r="M492" s="545"/>
      <c r="N492" s="545"/>
      <c r="O492" s="545"/>
      <c r="P492" s="545"/>
      <c r="Q492" s="545"/>
      <c r="R492" s="545"/>
      <c r="S492" s="545"/>
      <c r="W492" s="545"/>
      <c r="X492" s="545"/>
      <c r="Y492" s="545"/>
      <c r="Z492" s="545"/>
      <c r="AA492" s="545"/>
      <c r="AB492" s="545"/>
      <c r="AC492" s="545"/>
    </row>
    <row r="493" spans="1:29" ht="12.75" customHeight="1">
      <c r="A493" s="545"/>
      <c r="B493" s="545"/>
      <c r="C493" s="545"/>
      <c r="D493" s="545"/>
      <c r="E493" s="545"/>
      <c r="F493" s="545"/>
      <c r="H493" s="545"/>
      <c r="I493" s="545"/>
      <c r="J493" s="545"/>
      <c r="K493" s="545"/>
      <c r="L493" s="545"/>
      <c r="M493" s="545"/>
      <c r="N493" s="545"/>
      <c r="O493" s="545"/>
      <c r="P493" s="545"/>
      <c r="Q493" s="545"/>
      <c r="R493" s="545"/>
      <c r="S493" s="545"/>
      <c r="W493" s="545"/>
      <c r="X493" s="545"/>
      <c r="Y493" s="545"/>
      <c r="Z493" s="545"/>
      <c r="AA493" s="545"/>
      <c r="AB493" s="545"/>
      <c r="AC493" s="545"/>
    </row>
    <row r="494" spans="1:29" ht="12.75" customHeight="1">
      <c r="A494" s="545"/>
      <c r="B494" s="545"/>
      <c r="C494" s="545"/>
      <c r="D494" s="545"/>
      <c r="E494" s="545"/>
      <c r="F494" s="545"/>
      <c r="H494" s="545"/>
      <c r="I494" s="545"/>
      <c r="J494" s="545"/>
      <c r="K494" s="545"/>
      <c r="L494" s="545"/>
      <c r="M494" s="545"/>
      <c r="N494" s="545"/>
      <c r="O494" s="545"/>
      <c r="P494" s="545"/>
      <c r="Q494" s="545"/>
      <c r="R494" s="545"/>
      <c r="S494" s="545"/>
      <c r="W494" s="545"/>
      <c r="X494" s="545"/>
      <c r="Y494" s="545"/>
      <c r="Z494" s="545"/>
      <c r="AA494" s="545"/>
      <c r="AB494" s="545"/>
      <c r="AC494" s="545"/>
    </row>
    <row r="495" spans="1:29" ht="12.75" customHeight="1">
      <c r="A495" s="545"/>
      <c r="B495" s="545"/>
      <c r="C495" s="545"/>
      <c r="D495" s="545"/>
      <c r="E495" s="545"/>
      <c r="F495" s="545"/>
      <c r="H495" s="545"/>
      <c r="I495" s="545"/>
      <c r="J495" s="545"/>
      <c r="K495" s="545"/>
      <c r="L495" s="545"/>
      <c r="M495" s="545"/>
      <c r="N495" s="545"/>
      <c r="O495" s="545"/>
      <c r="P495" s="545"/>
      <c r="Q495" s="545"/>
      <c r="R495" s="545"/>
      <c r="S495" s="545"/>
      <c r="W495" s="545"/>
      <c r="X495" s="545"/>
      <c r="Y495" s="545"/>
      <c r="Z495" s="545"/>
      <c r="AA495" s="545"/>
      <c r="AB495" s="545"/>
      <c r="AC495" s="545"/>
    </row>
    <row r="496" spans="1:29" ht="12.75" customHeight="1">
      <c r="A496" s="545"/>
      <c r="B496" s="545"/>
      <c r="C496" s="545"/>
      <c r="D496" s="545"/>
      <c r="E496" s="545"/>
      <c r="F496" s="545"/>
      <c r="H496" s="545"/>
      <c r="I496" s="545"/>
      <c r="J496" s="545"/>
      <c r="K496" s="545"/>
      <c r="L496" s="545"/>
      <c r="M496" s="545"/>
      <c r="N496" s="545"/>
      <c r="O496" s="545"/>
      <c r="P496" s="545"/>
      <c r="Q496" s="545"/>
      <c r="R496" s="545"/>
      <c r="S496" s="545"/>
      <c r="W496" s="545"/>
      <c r="X496" s="545"/>
      <c r="Y496" s="545"/>
      <c r="Z496" s="545"/>
      <c r="AA496" s="545"/>
      <c r="AB496" s="545"/>
      <c r="AC496" s="545"/>
    </row>
    <row r="497" spans="1:29" ht="12.75" customHeight="1">
      <c r="A497" s="545"/>
      <c r="B497" s="545"/>
      <c r="C497" s="545"/>
      <c r="D497" s="545"/>
      <c r="E497" s="545"/>
      <c r="F497" s="545"/>
      <c r="H497" s="545"/>
      <c r="I497" s="545"/>
      <c r="J497" s="545"/>
      <c r="K497" s="545"/>
      <c r="L497" s="545"/>
      <c r="M497" s="545"/>
      <c r="N497" s="545"/>
      <c r="O497" s="545"/>
      <c r="P497" s="545"/>
      <c r="Q497" s="545"/>
      <c r="R497" s="545"/>
      <c r="S497" s="545"/>
      <c r="W497" s="545"/>
      <c r="X497" s="545"/>
      <c r="Y497" s="545"/>
      <c r="Z497" s="545"/>
      <c r="AA497" s="545"/>
      <c r="AB497" s="545"/>
      <c r="AC497" s="545"/>
    </row>
    <row r="498" spans="1:29" ht="12.75" customHeight="1">
      <c r="A498" s="545"/>
      <c r="B498" s="545"/>
      <c r="C498" s="545"/>
      <c r="D498" s="545"/>
      <c r="E498" s="545"/>
      <c r="F498" s="545"/>
      <c r="H498" s="545"/>
      <c r="I498" s="545"/>
      <c r="J498" s="545"/>
      <c r="K498" s="545"/>
      <c r="L498" s="545"/>
      <c r="M498" s="545"/>
      <c r="N498" s="545"/>
      <c r="O498" s="545"/>
      <c r="P498" s="545"/>
      <c r="Q498" s="545"/>
      <c r="R498" s="545"/>
      <c r="S498" s="545"/>
      <c r="W498" s="545"/>
      <c r="X498" s="545"/>
      <c r="Y498" s="545"/>
      <c r="Z498" s="545"/>
      <c r="AA498" s="545"/>
      <c r="AB498" s="545"/>
      <c r="AC498" s="545"/>
    </row>
    <row r="499" spans="1:29" ht="12.75" customHeight="1">
      <c r="A499" s="545"/>
      <c r="B499" s="545"/>
      <c r="C499" s="545"/>
      <c r="D499" s="545"/>
      <c r="E499" s="545"/>
      <c r="F499" s="545"/>
      <c r="H499" s="545"/>
      <c r="I499" s="545"/>
      <c r="J499" s="545"/>
      <c r="K499" s="545"/>
      <c r="L499" s="545"/>
      <c r="M499" s="545"/>
      <c r="N499" s="545"/>
      <c r="O499" s="545"/>
      <c r="P499" s="545"/>
      <c r="Q499" s="545"/>
      <c r="R499" s="545"/>
      <c r="S499" s="545"/>
      <c r="W499" s="545"/>
      <c r="X499" s="545"/>
      <c r="Y499" s="545"/>
      <c r="Z499" s="545"/>
      <c r="AA499" s="545"/>
      <c r="AB499" s="545"/>
      <c r="AC499" s="545"/>
    </row>
    <row r="500" spans="1:29" ht="12.75" customHeight="1">
      <c r="A500" s="545"/>
      <c r="B500" s="545"/>
      <c r="C500" s="545"/>
      <c r="D500" s="545"/>
      <c r="E500" s="545"/>
      <c r="F500" s="545"/>
      <c r="H500" s="545"/>
      <c r="I500" s="545"/>
      <c r="J500" s="545"/>
      <c r="K500" s="545"/>
      <c r="L500" s="545"/>
      <c r="M500" s="545"/>
      <c r="N500" s="545"/>
      <c r="O500" s="545"/>
      <c r="P500" s="545"/>
      <c r="Q500" s="545"/>
      <c r="R500" s="545"/>
      <c r="S500" s="545"/>
      <c r="W500" s="545"/>
      <c r="X500" s="545"/>
      <c r="Y500" s="545"/>
      <c r="Z500" s="545"/>
      <c r="AA500" s="545"/>
      <c r="AB500" s="545"/>
      <c r="AC500" s="545"/>
    </row>
    <row r="501" spans="1:29" ht="12.75" customHeight="1">
      <c r="A501" s="545"/>
      <c r="B501" s="545"/>
      <c r="C501" s="545"/>
      <c r="D501" s="545"/>
      <c r="E501" s="545"/>
      <c r="F501" s="545"/>
      <c r="H501" s="545"/>
      <c r="I501" s="545"/>
      <c r="J501" s="545"/>
      <c r="K501" s="545"/>
      <c r="L501" s="545"/>
      <c r="M501" s="545"/>
      <c r="N501" s="545"/>
      <c r="O501" s="545"/>
      <c r="P501" s="545"/>
      <c r="Q501" s="545"/>
      <c r="R501" s="545"/>
      <c r="S501" s="545"/>
      <c r="W501" s="545"/>
      <c r="X501" s="545"/>
      <c r="Y501" s="545"/>
      <c r="Z501" s="545"/>
      <c r="AA501" s="545"/>
      <c r="AB501" s="545"/>
      <c r="AC501" s="545"/>
    </row>
    <row r="502" spans="1:29" ht="12.75" customHeight="1">
      <c r="A502" s="545"/>
      <c r="B502" s="545"/>
      <c r="C502" s="545"/>
      <c r="D502" s="545"/>
      <c r="E502" s="545"/>
      <c r="F502" s="545"/>
      <c r="H502" s="545"/>
      <c r="I502" s="545"/>
      <c r="J502" s="545"/>
      <c r="K502" s="545"/>
      <c r="L502" s="545"/>
      <c r="M502" s="545"/>
      <c r="N502" s="545"/>
      <c r="O502" s="545"/>
      <c r="P502" s="545"/>
      <c r="Q502" s="545"/>
      <c r="R502" s="545"/>
      <c r="S502" s="545"/>
      <c r="W502" s="545"/>
      <c r="X502" s="545"/>
      <c r="Y502" s="545"/>
      <c r="Z502" s="545"/>
      <c r="AA502" s="545"/>
      <c r="AB502" s="545"/>
      <c r="AC502" s="545"/>
    </row>
    <row r="503" spans="1:29" ht="12.75" customHeight="1">
      <c r="A503" s="545"/>
      <c r="B503" s="545"/>
      <c r="C503" s="545"/>
      <c r="D503" s="545"/>
      <c r="E503" s="545"/>
      <c r="F503" s="545"/>
      <c r="H503" s="545"/>
      <c r="I503" s="545"/>
      <c r="J503" s="545"/>
      <c r="K503" s="545"/>
      <c r="L503" s="545"/>
      <c r="M503" s="545"/>
      <c r="N503" s="545"/>
      <c r="O503" s="545"/>
      <c r="P503" s="545"/>
      <c r="Q503" s="545"/>
      <c r="R503" s="545"/>
      <c r="S503" s="545"/>
      <c r="W503" s="545"/>
      <c r="X503" s="545"/>
      <c r="Y503" s="545"/>
      <c r="Z503" s="545"/>
      <c r="AA503" s="545"/>
      <c r="AB503" s="545"/>
      <c r="AC503" s="545"/>
    </row>
    <row r="504" spans="1:29" ht="12.75" customHeight="1">
      <c r="A504" s="545"/>
      <c r="B504" s="545"/>
      <c r="C504" s="545"/>
      <c r="D504" s="545"/>
      <c r="E504" s="545"/>
      <c r="F504" s="545"/>
      <c r="H504" s="545"/>
      <c r="I504" s="545"/>
      <c r="J504" s="545"/>
      <c r="K504" s="545"/>
      <c r="L504" s="545"/>
      <c r="M504" s="545"/>
      <c r="N504" s="545"/>
      <c r="O504" s="545"/>
      <c r="P504" s="545"/>
      <c r="Q504" s="545"/>
      <c r="R504" s="545"/>
      <c r="S504" s="545"/>
      <c r="W504" s="545"/>
      <c r="X504" s="545"/>
      <c r="Y504" s="545"/>
      <c r="Z504" s="545"/>
      <c r="AA504" s="545"/>
      <c r="AB504" s="545"/>
      <c r="AC504" s="545"/>
    </row>
    <row r="505" spans="1:29" ht="12.75" customHeight="1">
      <c r="A505" s="545"/>
      <c r="B505" s="545"/>
      <c r="C505" s="545"/>
      <c r="D505" s="545"/>
      <c r="E505" s="545"/>
      <c r="F505" s="545"/>
      <c r="H505" s="545"/>
      <c r="I505" s="545"/>
      <c r="J505" s="545"/>
      <c r="K505" s="545"/>
      <c r="L505" s="545"/>
      <c r="M505" s="545"/>
      <c r="N505" s="545"/>
      <c r="O505" s="545"/>
      <c r="P505" s="545"/>
      <c r="Q505" s="545"/>
      <c r="R505" s="545"/>
      <c r="S505" s="545"/>
      <c r="W505" s="545"/>
      <c r="X505" s="545"/>
      <c r="Y505" s="545"/>
      <c r="Z505" s="545"/>
      <c r="AA505" s="545"/>
      <c r="AB505" s="545"/>
      <c r="AC505" s="545"/>
    </row>
    <row r="506" spans="1:29" ht="12.75" customHeight="1">
      <c r="A506" s="545"/>
      <c r="B506" s="545"/>
      <c r="C506" s="545"/>
      <c r="D506" s="545"/>
      <c r="E506" s="545"/>
      <c r="F506" s="545"/>
      <c r="H506" s="545"/>
      <c r="I506" s="545"/>
      <c r="J506" s="545"/>
      <c r="K506" s="545"/>
      <c r="L506" s="545"/>
      <c r="M506" s="545"/>
      <c r="N506" s="545"/>
      <c r="O506" s="545"/>
      <c r="P506" s="545"/>
      <c r="Q506" s="545"/>
      <c r="R506" s="545"/>
      <c r="S506" s="545"/>
      <c r="W506" s="545"/>
      <c r="X506" s="545"/>
      <c r="Y506" s="545"/>
      <c r="Z506" s="545"/>
      <c r="AA506" s="545"/>
      <c r="AB506" s="545"/>
      <c r="AC506" s="545"/>
    </row>
    <row r="507" spans="1:29" ht="12.75" customHeight="1">
      <c r="A507" s="545"/>
      <c r="B507" s="545"/>
      <c r="C507" s="545"/>
      <c r="D507" s="545"/>
      <c r="E507" s="545"/>
      <c r="F507" s="545"/>
      <c r="H507" s="545"/>
      <c r="I507" s="545"/>
      <c r="J507" s="545"/>
      <c r="K507" s="545"/>
      <c r="L507" s="545"/>
      <c r="M507" s="545"/>
      <c r="N507" s="545"/>
      <c r="O507" s="545"/>
      <c r="P507" s="545"/>
      <c r="Q507" s="545"/>
      <c r="R507" s="545"/>
      <c r="S507" s="545"/>
      <c r="W507" s="545"/>
      <c r="X507" s="545"/>
      <c r="Y507" s="545"/>
      <c r="Z507" s="545"/>
      <c r="AA507" s="545"/>
      <c r="AB507" s="545"/>
      <c r="AC507" s="545"/>
    </row>
    <row r="508" spans="1:29" ht="12.75" customHeight="1">
      <c r="A508" s="545"/>
      <c r="B508" s="545"/>
      <c r="C508" s="545"/>
      <c r="D508" s="545"/>
      <c r="E508" s="545"/>
      <c r="F508" s="545"/>
      <c r="H508" s="545"/>
      <c r="I508" s="545"/>
      <c r="J508" s="545"/>
      <c r="K508" s="545"/>
      <c r="L508" s="545"/>
      <c r="M508" s="545"/>
      <c r="N508" s="545"/>
      <c r="O508" s="545"/>
      <c r="P508" s="545"/>
      <c r="Q508" s="545"/>
      <c r="R508" s="545"/>
      <c r="S508" s="545"/>
      <c r="W508" s="545"/>
      <c r="X508" s="545"/>
      <c r="Y508" s="545"/>
      <c r="Z508" s="545"/>
      <c r="AA508" s="545"/>
      <c r="AB508" s="545"/>
      <c r="AC508" s="545"/>
    </row>
    <row r="509" spans="1:29" ht="12.75" customHeight="1">
      <c r="A509" s="545"/>
      <c r="B509" s="545"/>
      <c r="C509" s="545"/>
      <c r="D509" s="545"/>
      <c r="E509" s="545"/>
      <c r="F509" s="545"/>
      <c r="H509" s="545"/>
      <c r="I509" s="545"/>
      <c r="J509" s="545"/>
      <c r="K509" s="545"/>
      <c r="L509" s="545"/>
      <c r="M509" s="545"/>
      <c r="N509" s="545"/>
      <c r="O509" s="545"/>
      <c r="P509" s="545"/>
      <c r="Q509" s="545"/>
      <c r="R509" s="545"/>
      <c r="S509" s="545"/>
      <c r="W509" s="545"/>
      <c r="X509" s="545"/>
      <c r="Y509" s="545"/>
      <c r="Z509" s="545"/>
      <c r="AA509" s="545"/>
      <c r="AB509" s="545"/>
      <c r="AC509" s="545"/>
    </row>
    <row r="510" spans="1:29" ht="12.75" customHeight="1">
      <c r="A510" s="545"/>
      <c r="B510" s="545"/>
      <c r="C510" s="545"/>
      <c r="D510" s="545"/>
      <c r="E510" s="545"/>
      <c r="F510" s="545"/>
      <c r="H510" s="545"/>
      <c r="I510" s="545"/>
      <c r="J510" s="545"/>
      <c r="K510" s="545"/>
      <c r="L510" s="545"/>
      <c r="M510" s="545"/>
      <c r="N510" s="545"/>
      <c r="O510" s="545"/>
      <c r="P510" s="545"/>
      <c r="Q510" s="545"/>
      <c r="R510" s="545"/>
      <c r="S510" s="545"/>
      <c r="W510" s="545"/>
      <c r="X510" s="545"/>
      <c r="Y510" s="545"/>
      <c r="Z510" s="545"/>
      <c r="AA510" s="545"/>
      <c r="AB510" s="545"/>
      <c r="AC510" s="545"/>
    </row>
    <row r="511" spans="1:29" ht="12.75" customHeight="1">
      <c r="A511" s="545"/>
      <c r="B511" s="545"/>
      <c r="C511" s="545"/>
      <c r="D511" s="545"/>
      <c r="E511" s="545"/>
      <c r="F511" s="545"/>
      <c r="H511" s="545"/>
      <c r="I511" s="545"/>
      <c r="J511" s="545"/>
      <c r="K511" s="545"/>
      <c r="L511" s="545"/>
      <c r="M511" s="545"/>
      <c r="N511" s="545"/>
      <c r="O511" s="545"/>
      <c r="P511" s="545"/>
      <c r="Q511" s="545"/>
      <c r="R511" s="545"/>
      <c r="S511" s="545"/>
      <c r="W511" s="545"/>
      <c r="X511" s="545"/>
      <c r="Y511" s="545"/>
      <c r="Z511" s="545"/>
      <c r="AA511" s="545"/>
      <c r="AB511" s="545"/>
      <c r="AC511" s="545"/>
    </row>
    <row r="512" spans="1:29" ht="12.75" customHeight="1">
      <c r="A512" s="545"/>
      <c r="B512" s="545"/>
      <c r="C512" s="545"/>
      <c r="D512" s="545"/>
      <c r="E512" s="545"/>
      <c r="F512" s="545"/>
      <c r="H512" s="545"/>
      <c r="I512" s="545"/>
      <c r="J512" s="545"/>
      <c r="K512" s="545"/>
      <c r="L512" s="545"/>
      <c r="M512" s="545"/>
      <c r="N512" s="545"/>
      <c r="O512" s="545"/>
      <c r="P512" s="545"/>
      <c r="Q512" s="545"/>
      <c r="R512" s="545"/>
      <c r="S512" s="545"/>
      <c r="W512" s="545"/>
      <c r="X512" s="545"/>
      <c r="Y512" s="545"/>
      <c r="Z512" s="545"/>
      <c r="AA512" s="545"/>
      <c r="AB512" s="545"/>
      <c r="AC512" s="545"/>
    </row>
    <row r="513" spans="1:29" ht="12.75" customHeight="1">
      <c r="A513" s="545"/>
      <c r="B513" s="545"/>
      <c r="C513" s="545"/>
      <c r="D513" s="545"/>
      <c r="E513" s="545"/>
      <c r="F513" s="545"/>
      <c r="H513" s="545"/>
      <c r="I513" s="545"/>
      <c r="J513" s="545"/>
      <c r="K513" s="545"/>
      <c r="L513" s="545"/>
      <c r="M513" s="545"/>
      <c r="N513" s="545"/>
      <c r="O513" s="545"/>
      <c r="P513" s="545"/>
      <c r="Q513" s="545"/>
      <c r="R513" s="545"/>
      <c r="S513" s="545"/>
      <c r="W513" s="545"/>
      <c r="X513" s="545"/>
      <c r="Y513" s="545"/>
      <c r="Z513" s="545"/>
      <c r="AA513" s="545"/>
      <c r="AB513" s="545"/>
      <c r="AC513" s="545"/>
    </row>
    <row r="514" spans="1:29" ht="12.75" customHeight="1">
      <c r="A514" s="545"/>
      <c r="B514" s="545"/>
      <c r="C514" s="545"/>
      <c r="D514" s="545"/>
      <c r="E514" s="545"/>
      <c r="F514" s="545"/>
      <c r="H514" s="545"/>
      <c r="I514" s="545"/>
      <c r="J514" s="545"/>
      <c r="K514" s="545"/>
      <c r="L514" s="545"/>
      <c r="M514" s="545"/>
      <c r="N514" s="545"/>
      <c r="O514" s="545"/>
      <c r="P514" s="545"/>
      <c r="Q514" s="545"/>
      <c r="R514" s="545"/>
      <c r="S514" s="545"/>
      <c r="W514" s="545"/>
      <c r="X514" s="545"/>
      <c r="Y514" s="545"/>
      <c r="Z514" s="545"/>
      <c r="AA514" s="545"/>
      <c r="AB514" s="545"/>
      <c r="AC514" s="545"/>
    </row>
    <row r="515" spans="1:29" ht="12.75" customHeight="1">
      <c r="A515" s="545"/>
      <c r="B515" s="545"/>
      <c r="C515" s="545"/>
      <c r="D515" s="545"/>
      <c r="E515" s="545"/>
      <c r="F515" s="545"/>
      <c r="H515" s="545"/>
      <c r="I515" s="545"/>
      <c r="J515" s="545"/>
      <c r="K515" s="545"/>
      <c r="L515" s="545"/>
      <c r="M515" s="545"/>
      <c r="N515" s="545"/>
      <c r="O515" s="545"/>
      <c r="P515" s="545"/>
      <c r="Q515" s="545"/>
      <c r="R515" s="545"/>
      <c r="S515" s="545"/>
      <c r="W515" s="545"/>
      <c r="X515" s="545"/>
      <c r="Y515" s="545"/>
      <c r="Z515" s="545"/>
      <c r="AA515" s="545"/>
      <c r="AB515" s="545"/>
      <c r="AC515" s="545"/>
    </row>
    <row r="516" spans="1:29" ht="12.75" customHeight="1">
      <c r="A516" s="545"/>
      <c r="B516" s="545"/>
      <c r="C516" s="545"/>
      <c r="D516" s="545"/>
      <c r="E516" s="545"/>
      <c r="F516" s="545"/>
      <c r="H516" s="545"/>
      <c r="I516" s="545"/>
      <c r="J516" s="545"/>
      <c r="K516" s="545"/>
      <c r="L516" s="545"/>
      <c r="M516" s="545"/>
      <c r="N516" s="545"/>
      <c r="O516" s="545"/>
      <c r="P516" s="545"/>
      <c r="Q516" s="545"/>
      <c r="R516" s="545"/>
      <c r="S516" s="545"/>
      <c r="W516" s="545"/>
      <c r="X516" s="545"/>
      <c r="Y516" s="545"/>
      <c r="Z516" s="545"/>
      <c r="AA516" s="545"/>
      <c r="AB516" s="545"/>
      <c r="AC516" s="545"/>
    </row>
    <row r="517" spans="1:29" ht="12.75" customHeight="1">
      <c r="A517" s="545"/>
      <c r="B517" s="545"/>
      <c r="C517" s="545"/>
      <c r="D517" s="545"/>
      <c r="E517" s="545"/>
      <c r="F517" s="545"/>
      <c r="H517" s="545"/>
      <c r="I517" s="545"/>
      <c r="J517" s="545"/>
      <c r="K517" s="545"/>
      <c r="L517" s="545"/>
      <c r="M517" s="545"/>
      <c r="N517" s="545"/>
      <c r="O517" s="545"/>
      <c r="P517" s="545"/>
      <c r="Q517" s="545"/>
      <c r="R517" s="545"/>
      <c r="S517" s="545"/>
      <c r="W517" s="545"/>
      <c r="X517" s="545"/>
      <c r="Y517" s="545"/>
      <c r="Z517" s="545"/>
      <c r="AA517" s="545"/>
      <c r="AB517" s="545"/>
      <c r="AC517" s="545"/>
    </row>
    <row r="518" spans="1:29" ht="12.75" customHeight="1">
      <c r="A518" s="545"/>
      <c r="B518" s="545"/>
      <c r="C518" s="545"/>
      <c r="D518" s="545"/>
      <c r="E518" s="545"/>
      <c r="F518" s="545"/>
      <c r="H518" s="545"/>
      <c r="I518" s="545"/>
      <c r="J518" s="545"/>
      <c r="K518" s="545"/>
      <c r="L518" s="545"/>
      <c r="M518" s="545"/>
      <c r="N518" s="545"/>
      <c r="O518" s="545"/>
      <c r="P518" s="545"/>
      <c r="Q518" s="545"/>
      <c r="R518" s="545"/>
      <c r="S518" s="545"/>
      <c r="W518" s="545"/>
      <c r="X518" s="545"/>
      <c r="Y518" s="545"/>
      <c r="Z518" s="545"/>
      <c r="AA518" s="545"/>
      <c r="AB518" s="545"/>
      <c r="AC518" s="545"/>
    </row>
    <row r="519" spans="1:29" ht="12.75" customHeight="1">
      <c r="A519" s="545"/>
      <c r="B519" s="545"/>
      <c r="C519" s="545"/>
      <c r="D519" s="545"/>
      <c r="E519" s="545"/>
      <c r="F519" s="545"/>
      <c r="H519" s="545"/>
      <c r="I519" s="545"/>
      <c r="J519" s="545"/>
      <c r="K519" s="545"/>
      <c r="L519" s="545"/>
      <c r="M519" s="545"/>
      <c r="N519" s="545"/>
      <c r="O519" s="545"/>
      <c r="P519" s="545"/>
      <c r="Q519" s="545"/>
      <c r="R519" s="545"/>
      <c r="S519" s="545"/>
      <c r="W519" s="545"/>
      <c r="X519" s="545"/>
      <c r="Y519" s="545"/>
      <c r="Z519" s="545"/>
      <c r="AA519" s="545"/>
      <c r="AB519" s="545"/>
      <c r="AC519" s="545"/>
    </row>
    <row r="520" spans="1:29" ht="12.75" customHeight="1">
      <c r="A520" s="545"/>
      <c r="B520" s="545"/>
      <c r="C520" s="545"/>
      <c r="D520" s="545"/>
      <c r="E520" s="545"/>
      <c r="F520" s="545"/>
      <c r="H520" s="545"/>
      <c r="I520" s="545"/>
      <c r="J520" s="545"/>
      <c r="K520" s="545"/>
      <c r="L520" s="545"/>
      <c r="M520" s="545"/>
      <c r="N520" s="545"/>
      <c r="O520" s="545"/>
      <c r="P520" s="545"/>
      <c r="Q520" s="545"/>
      <c r="R520" s="545"/>
      <c r="S520" s="545"/>
      <c r="W520" s="545"/>
      <c r="X520" s="545"/>
      <c r="Y520" s="545"/>
      <c r="Z520" s="545"/>
      <c r="AA520" s="545"/>
      <c r="AB520" s="545"/>
      <c r="AC520" s="545"/>
    </row>
    <row r="521" spans="1:29" ht="12.75" customHeight="1">
      <c r="A521" s="545"/>
      <c r="B521" s="545"/>
      <c r="C521" s="545"/>
      <c r="D521" s="545"/>
      <c r="E521" s="545"/>
      <c r="F521" s="545"/>
      <c r="H521" s="545"/>
      <c r="I521" s="545"/>
      <c r="J521" s="545"/>
      <c r="K521" s="545"/>
      <c r="L521" s="545"/>
      <c r="M521" s="545"/>
      <c r="N521" s="545"/>
      <c r="O521" s="545"/>
      <c r="P521" s="545"/>
      <c r="Q521" s="545"/>
      <c r="R521" s="545"/>
      <c r="S521" s="545"/>
      <c r="W521" s="545"/>
      <c r="X521" s="545"/>
      <c r="Y521" s="545"/>
      <c r="Z521" s="545"/>
      <c r="AA521" s="545"/>
      <c r="AB521" s="545"/>
      <c r="AC521" s="545"/>
    </row>
    <row r="522" spans="1:29" ht="12.75" customHeight="1">
      <c r="A522" s="545"/>
      <c r="B522" s="545"/>
      <c r="C522" s="545"/>
      <c r="D522" s="545"/>
      <c r="E522" s="545"/>
      <c r="F522" s="545"/>
      <c r="H522" s="545"/>
      <c r="I522" s="545"/>
      <c r="J522" s="545"/>
      <c r="K522" s="545"/>
      <c r="L522" s="545"/>
      <c r="M522" s="545"/>
      <c r="N522" s="545"/>
      <c r="O522" s="545"/>
      <c r="P522" s="545"/>
      <c r="Q522" s="545"/>
      <c r="R522" s="545"/>
      <c r="S522" s="545"/>
      <c r="W522" s="545"/>
      <c r="X522" s="545"/>
      <c r="Y522" s="545"/>
      <c r="Z522" s="545"/>
      <c r="AA522" s="545"/>
      <c r="AB522" s="545"/>
      <c r="AC522" s="545"/>
    </row>
    <row r="523" spans="1:29" ht="12.75" customHeight="1">
      <c r="A523" s="545"/>
      <c r="B523" s="545"/>
      <c r="C523" s="545"/>
      <c r="D523" s="545"/>
      <c r="E523" s="545"/>
      <c r="F523" s="545"/>
      <c r="H523" s="545"/>
      <c r="I523" s="545"/>
      <c r="J523" s="545"/>
      <c r="K523" s="545"/>
      <c r="L523" s="545"/>
      <c r="M523" s="545"/>
      <c r="N523" s="545"/>
      <c r="O523" s="545"/>
      <c r="P523" s="545"/>
      <c r="Q523" s="545"/>
      <c r="R523" s="545"/>
      <c r="S523" s="545"/>
      <c r="W523" s="545"/>
      <c r="X523" s="545"/>
      <c r="Y523" s="545"/>
      <c r="Z523" s="545"/>
      <c r="AA523" s="545"/>
      <c r="AB523" s="545"/>
      <c r="AC523" s="545"/>
    </row>
    <row r="524" spans="1:29" ht="12.75" customHeight="1">
      <c r="A524" s="545"/>
      <c r="B524" s="545"/>
      <c r="C524" s="545"/>
      <c r="D524" s="545"/>
      <c r="E524" s="545"/>
      <c r="F524" s="545"/>
      <c r="H524" s="545"/>
      <c r="I524" s="545"/>
      <c r="J524" s="545"/>
      <c r="K524" s="545"/>
      <c r="L524" s="545"/>
      <c r="M524" s="545"/>
      <c r="N524" s="545"/>
      <c r="O524" s="545"/>
      <c r="P524" s="545"/>
      <c r="Q524" s="545"/>
      <c r="R524" s="545"/>
      <c r="S524" s="545"/>
      <c r="W524" s="545"/>
      <c r="X524" s="545"/>
      <c r="Y524" s="545"/>
      <c r="Z524" s="545"/>
      <c r="AA524" s="545"/>
      <c r="AB524" s="545"/>
      <c r="AC524" s="545"/>
    </row>
    <row r="525" spans="1:29" ht="12.75" customHeight="1">
      <c r="A525" s="545"/>
      <c r="B525" s="545"/>
      <c r="C525" s="545"/>
      <c r="D525" s="545"/>
      <c r="E525" s="545"/>
      <c r="F525" s="545"/>
      <c r="H525" s="545"/>
      <c r="I525" s="545"/>
      <c r="J525" s="545"/>
      <c r="K525" s="545"/>
      <c r="L525" s="545"/>
      <c r="M525" s="545"/>
      <c r="N525" s="545"/>
      <c r="O525" s="545"/>
      <c r="P525" s="545"/>
      <c r="Q525" s="545"/>
      <c r="R525" s="545"/>
      <c r="S525" s="545"/>
      <c r="W525" s="545"/>
      <c r="X525" s="545"/>
      <c r="Y525" s="545"/>
      <c r="Z525" s="545"/>
      <c r="AA525" s="545"/>
      <c r="AB525" s="545"/>
      <c r="AC525" s="545"/>
    </row>
    <row r="526" spans="1:29" ht="12.75" customHeight="1">
      <c r="A526" s="545"/>
      <c r="B526" s="545"/>
      <c r="C526" s="545"/>
      <c r="D526" s="545"/>
      <c r="E526" s="545"/>
      <c r="F526" s="545"/>
      <c r="H526" s="545"/>
      <c r="I526" s="545"/>
      <c r="J526" s="545"/>
      <c r="K526" s="545"/>
      <c r="L526" s="545"/>
      <c r="M526" s="545"/>
      <c r="N526" s="545"/>
      <c r="O526" s="545"/>
      <c r="P526" s="545"/>
      <c r="Q526" s="545"/>
      <c r="R526" s="545"/>
      <c r="S526" s="545"/>
      <c r="W526" s="545"/>
      <c r="X526" s="545"/>
      <c r="Y526" s="545"/>
      <c r="Z526" s="545"/>
      <c r="AA526" s="545"/>
      <c r="AB526" s="545"/>
      <c r="AC526" s="545"/>
    </row>
    <row r="527" spans="1:29" ht="12.75" customHeight="1">
      <c r="A527" s="545"/>
      <c r="B527" s="545"/>
      <c r="C527" s="545"/>
      <c r="D527" s="545"/>
      <c r="E527" s="545"/>
      <c r="F527" s="545"/>
      <c r="H527" s="545"/>
      <c r="I527" s="545"/>
      <c r="J527" s="545"/>
      <c r="K527" s="545"/>
      <c r="L527" s="545"/>
      <c r="M527" s="545"/>
      <c r="N527" s="545"/>
      <c r="O527" s="545"/>
      <c r="P527" s="545"/>
      <c r="Q527" s="545"/>
      <c r="R527" s="545"/>
      <c r="S527" s="545"/>
      <c r="W527" s="545"/>
      <c r="X527" s="545"/>
      <c r="Y527" s="545"/>
      <c r="Z527" s="545"/>
      <c r="AA527" s="545"/>
      <c r="AB527" s="545"/>
      <c r="AC527" s="545"/>
    </row>
    <row r="528" spans="1:29" ht="12.75" customHeight="1">
      <c r="A528" s="545"/>
      <c r="B528" s="545"/>
      <c r="C528" s="545"/>
      <c r="D528" s="545"/>
      <c r="E528" s="545"/>
      <c r="F528" s="545"/>
      <c r="H528" s="545"/>
      <c r="I528" s="545"/>
      <c r="J528" s="545"/>
      <c r="K528" s="545"/>
      <c r="L528" s="545"/>
      <c r="M528" s="545"/>
      <c r="N528" s="545"/>
      <c r="O528" s="545"/>
      <c r="P528" s="545"/>
      <c r="Q528" s="545"/>
      <c r="R528" s="545"/>
      <c r="S528" s="545"/>
      <c r="W528" s="545"/>
      <c r="X528" s="545"/>
      <c r="Y528" s="545"/>
      <c r="Z528" s="545"/>
      <c r="AA528" s="545"/>
      <c r="AB528" s="545"/>
      <c r="AC528" s="545"/>
    </row>
    <row r="529" spans="1:29" ht="12.75" customHeight="1">
      <c r="A529" s="545"/>
      <c r="B529" s="545"/>
      <c r="C529" s="545"/>
      <c r="D529" s="545"/>
      <c r="E529" s="545"/>
      <c r="F529" s="545"/>
      <c r="H529" s="545"/>
      <c r="I529" s="545"/>
      <c r="J529" s="545"/>
      <c r="K529" s="545"/>
      <c r="L529" s="545"/>
      <c r="M529" s="545"/>
      <c r="N529" s="545"/>
      <c r="O529" s="545"/>
      <c r="P529" s="545"/>
      <c r="Q529" s="545"/>
      <c r="R529" s="545"/>
      <c r="S529" s="545"/>
      <c r="W529" s="545"/>
      <c r="X529" s="545"/>
      <c r="Y529" s="545"/>
      <c r="Z529" s="545"/>
      <c r="AA529" s="545"/>
      <c r="AB529" s="545"/>
      <c r="AC529" s="545"/>
    </row>
    <row r="530" spans="1:29" ht="12.75" customHeight="1">
      <c r="A530" s="545"/>
      <c r="B530" s="545"/>
      <c r="C530" s="545"/>
      <c r="D530" s="545"/>
      <c r="E530" s="545"/>
      <c r="F530" s="545"/>
      <c r="H530" s="545"/>
      <c r="I530" s="545"/>
      <c r="J530" s="545"/>
      <c r="K530" s="545"/>
      <c r="L530" s="545"/>
      <c r="M530" s="545"/>
      <c r="N530" s="545"/>
      <c r="O530" s="545"/>
      <c r="P530" s="545"/>
      <c r="Q530" s="545"/>
      <c r="R530" s="545"/>
      <c r="S530" s="545"/>
      <c r="W530" s="545"/>
      <c r="X530" s="545"/>
      <c r="Y530" s="545"/>
      <c r="Z530" s="545"/>
      <c r="AA530" s="545"/>
      <c r="AB530" s="545"/>
      <c r="AC530" s="545"/>
    </row>
    <row r="531" spans="1:29" ht="12.75" customHeight="1">
      <c r="A531" s="545"/>
      <c r="B531" s="545"/>
      <c r="C531" s="545"/>
      <c r="D531" s="545"/>
      <c r="E531" s="545"/>
      <c r="F531" s="545"/>
      <c r="H531" s="545"/>
      <c r="I531" s="545"/>
      <c r="J531" s="545"/>
      <c r="K531" s="545"/>
      <c r="L531" s="545"/>
      <c r="M531" s="545"/>
      <c r="N531" s="545"/>
      <c r="O531" s="545"/>
      <c r="P531" s="545"/>
      <c r="Q531" s="545"/>
      <c r="R531" s="545"/>
      <c r="S531" s="545"/>
      <c r="W531" s="545"/>
      <c r="X531" s="545"/>
      <c r="Y531" s="545"/>
      <c r="Z531" s="545"/>
      <c r="AA531" s="545"/>
      <c r="AB531" s="545"/>
      <c r="AC531" s="545"/>
    </row>
    <row r="532" spans="1:29" ht="12.75" customHeight="1">
      <c r="A532" s="545"/>
      <c r="B532" s="545"/>
      <c r="C532" s="545"/>
      <c r="D532" s="545"/>
      <c r="E532" s="545"/>
      <c r="F532" s="545"/>
      <c r="H532" s="545"/>
      <c r="I532" s="545"/>
      <c r="J532" s="545"/>
      <c r="K532" s="545"/>
      <c r="L532" s="545"/>
      <c r="M532" s="545"/>
      <c r="N532" s="545"/>
      <c r="O532" s="545"/>
      <c r="P532" s="545"/>
      <c r="Q532" s="545"/>
      <c r="R532" s="545"/>
      <c r="S532" s="545"/>
      <c r="W532" s="545"/>
      <c r="X532" s="545"/>
      <c r="Y532" s="545"/>
      <c r="Z532" s="545"/>
      <c r="AA532" s="545"/>
      <c r="AB532" s="545"/>
      <c r="AC532" s="545"/>
    </row>
    <row r="533" spans="1:29" ht="12.75" customHeight="1">
      <c r="A533" s="545"/>
      <c r="B533" s="545"/>
      <c r="C533" s="545"/>
      <c r="D533" s="545"/>
      <c r="E533" s="545"/>
      <c r="F533" s="545"/>
      <c r="H533" s="545"/>
      <c r="I533" s="545"/>
      <c r="J533" s="545"/>
      <c r="K533" s="545"/>
      <c r="L533" s="545"/>
      <c r="M533" s="545"/>
      <c r="N533" s="545"/>
      <c r="O533" s="545"/>
      <c r="P533" s="545"/>
      <c r="Q533" s="545"/>
      <c r="R533" s="545"/>
      <c r="S533" s="545"/>
      <c r="W533" s="545"/>
      <c r="X533" s="545"/>
      <c r="Y533" s="545"/>
      <c r="Z533" s="545"/>
      <c r="AA533" s="545"/>
      <c r="AB533" s="545"/>
      <c r="AC533" s="545"/>
    </row>
    <row r="534" spans="1:29" ht="12.75" customHeight="1">
      <c r="A534" s="545"/>
      <c r="B534" s="545"/>
      <c r="C534" s="545"/>
      <c r="D534" s="545"/>
      <c r="E534" s="545"/>
      <c r="F534" s="545"/>
      <c r="H534" s="545"/>
      <c r="I534" s="545"/>
      <c r="J534" s="545"/>
      <c r="K534" s="545"/>
      <c r="L534" s="545"/>
      <c r="M534" s="545"/>
      <c r="N534" s="545"/>
      <c r="O534" s="545"/>
      <c r="P534" s="545"/>
      <c r="Q534" s="545"/>
      <c r="R534" s="545"/>
      <c r="S534" s="545"/>
      <c r="W534" s="545"/>
      <c r="X534" s="545"/>
      <c r="Y534" s="545"/>
      <c r="Z534" s="545"/>
      <c r="AA534" s="545"/>
      <c r="AB534" s="545"/>
      <c r="AC534" s="545"/>
    </row>
    <row r="535" spans="1:29" ht="12.75" customHeight="1">
      <c r="A535" s="545"/>
      <c r="B535" s="545"/>
      <c r="C535" s="545"/>
      <c r="D535" s="545"/>
      <c r="E535" s="545"/>
      <c r="F535" s="545"/>
      <c r="H535" s="545"/>
      <c r="I535" s="545"/>
      <c r="J535" s="545"/>
      <c r="K535" s="545"/>
      <c r="L535" s="545"/>
      <c r="M535" s="545"/>
      <c r="N535" s="545"/>
      <c r="O535" s="545"/>
      <c r="P535" s="545"/>
      <c r="Q535" s="545"/>
      <c r="R535" s="545"/>
      <c r="S535" s="545"/>
      <c r="W535" s="545"/>
      <c r="X535" s="545"/>
      <c r="Y535" s="545"/>
      <c r="Z535" s="545"/>
      <c r="AA535" s="545"/>
      <c r="AB535" s="545"/>
      <c r="AC535" s="545"/>
    </row>
    <row r="536" spans="1:29" ht="12.75" customHeight="1">
      <c r="A536" s="545"/>
      <c r="B536" s="545"/>
      <c r="C536" s="545"/>
      <c r="D536" s="545"/>
      <c r="E536" s="545"/>
      <c r="F536" s="545"/>
      <c r="H536" s="545"/>
      <c r="I536" s="545"/>
      <c r="J536" s="545"/>
      <c r="K536" s="545"/>
      <c r="L536" s="545"/>
      <c r="M536" s="545"/>
      <c r="N536" s="545"/>
      <c r="O536" s="545"/>
      <c r="P536" s="545"/>
      <c r="Q536" s="545"/>
      <c r="R536" s="545"/>
      <c r="S536" s="545"/>
      <c r="W536" s="545"/>
      <c r="X536" s="545"/>
      <c r="Y536" s="545"/>
      <c r="Z536" s="545"/>
      <c r="AA536" s="545"/>
      <c r="AB536" s="545"/>
      <c r="AC536" s="545"/>
    </row>
    <row r="537" spans="1:29" ht="12.75" customHeight="1">
      <c r="A537" s="545"/>
      <c r="B537" s="545"/>
      <c r="C537" s="545"/>
      <c r="D537" s="545"/>
      <c r="E537" s="545"/>
      <c r="F537" s="545"/>
      <c r="H537" s="545"/>
      <c r="I537" s="545"/>
      <c r="J537" s="545"/>
      <c r="K537" s="545"/>
      <c r="L537" s="545"/>
      <c r="M537" s="545"/>
      <c r="N537" s="545"/>
      <c r="O537" s="545"/>
      <c r="P537" s="545"/>
      <c r="Q537" s="545"/>
      <c r="R537" s="545"/>
      <c r="S537" s="545"/>
      <c r="W537" s="545"/>
      <c r="X537" s="545"/>
      <c r="Y537" s="545"/>
      <c r="Z537" s="545"/>
      <c r="AA537" s="545"/>
      <c r="AB537" s="545"/>
      <c r="AC537" s="545"/>
    </row>
    <row r="538" spans="1:29" ht="12.75" customHeight="1">
      <c r="A538" s="545"/>
      <c r="B538" s="545"/>
      <c r="C538" s="545"/>
      <c r="D538" s="545"/>
      <c r="E538" s="545"/>
      <c r="F538" s="545"/>
      <c r="H538" s="545"/>
      <c r="I538" s="545"/>
      <c r="J538" s="545"/>
      <c r="K538" s="545"/>
      <c r="L538" s="545"/>
      <c r="M538" s="545"/>
      <c r="N538" s="545"/>
      <c r="O538" s="545"/>
      <c r="P538" s="545"/>
      <c r="Q538" s="545"/>
      <c r="R538" s="545"/>
      <c r="S538" s="545"/>
      <c r="W538" s="545"/>
      <c r="X538" s="545"/>
      <c r="Y538" s="545"/>
      <c r="Z538" s="545"/>
      <c r="AA538" s="545"/>
      <c r="AB538" s="545"/>
      <c r="AC538" s="545"/>
    </row>
    <row r="539" spans="1:29" ht="12.75" customHeight="1">
      <c r="A539" s="545"/>
      <c r="B539" s="545"/>
      <c r="C539" s="545"/>
      <c r="D539" s="545"/>
      <c r="E539" s="545"/>
      <c r="F539" s="545"/>
      <c r="H539" s="545"/>
      <c r="I539" s="545"/>
      <c r="J539" s="545"/>
      <c r="K539" s="545"/>
      <c r="L539" s="545"/>
      <c r="M539" s="545"/>
      <c r="N539" s="545"/>
      <c r="O539" s="545"/>
      <c r="P539" s="545"/>
      <c r="Q539" s="545"/>
      <c r="R539" s="545"/>
      <c r="S539" s="545"/>
      <c r="W539" s="545"/>
      <c r="X539" s="545"/>
      <c r="Y539" s="545"/>
      <c r="Z539" s="545"/>
      <c r="AA539" s="545"/>
      <c r="AB539" s="545"/>
      <c r="AC539" s="545"/>
    </row>
    <row r="540" spans="1:29" ht="12.75" customHeight="1">
      <c r="A540" s="545"/>
      <c r="B540" s="545"/>
      <c r="C540" s="545"/>
      <c r="D540" s="545"/>
      <c r="E540" s="545"/>
      <c r="F540" s="545"/>
      <c r="H540" s="545"/>
      <c r="I540" s="545"/>
      <c r="J540" s="545"/>
      <c r="K540" s="545"/>
      <c r="L540" s="545"/>
      <c r="M540" s="545"/>
      <c r="N540" s="545"/>
      <c r="O540" s="545"/>
      <c r="P540" s="545"/>
      <c r="Q540" s="545"/>
      <c r="R540" s="545"/>
      <c r="S540" s="545"/>
      <c r="W540" s="545"/>
      <c r="X540" s="545"/>
      <c r="Y540" s="545"/>
      <c r="Z540" s="545"/>
      <c r="AA540" s="545"/>
      <c r="AB540" s="545"/>
      <c r="AC540" s="545"/>
    </row>
    <row r="541" spans="1:29" ht="12.75" customHeight="1">
      <c r="A541" s="545"/>
      <c r="B541" s="545"/>
      <c r="C541" s="545"/>
      <c r="D541" s="545"/>
      <c r="E541" s="545"/>
      <c r="F541" s="545"/>
      <c r="H541" s="545"/>
      <c r="I541" s="545"/>
      <c r="J541" s="545"/>
      <c r="K541" s="545"/>
      <c r="L541" s="545"/>
      <c r="M541" s="545"/>
      <c r="N541" s="545"/>
      <c r="O541" s="545"/>
      <c r="P541" s="545"/>
      <c r="Q541" s="545"/>
      <c r="R541" s="545"/>
      <c r="S541" s="545"/>
      <c r="W541" s="545"/>
      <c r="X541" s="545"/>
      <c r="Y541" s="545"/>
      <c r="Z541" s="545"/>
      <c r="AA541" s="545"/>
      <c r="AB541" s="545"/>
      <c r="AC541" s="545"/>
    </row>
    <row r="542" spans="1:29" ht="12.75" customHeight="1">
      <c r="A542" s="545"/>
      <c r="B542" s="545"/>
      <c r="C542" s="545"/>
      <c r="D542" s="545"/>
      <c r="E542" s="545"/>
      <c r="F542" s="545"/>
      <c r="H542" s="545"/>
      <c r="I542" s="545"/>
      <c r="J542" s="545"/>
      <c r="K542" s="545"/>
      <c r="L542" s="545"/>
      <c r="M542" s="545"/>
      <c r="N542" s="545"/>
      <c r="O542" s="545"/>
      <c r="P542" s="545"/>
      <c r="Q542" s="545"/>
      <c r="R542" s="545"/>
      <c r="S542" s="545"/>
      <c r="W542" s="545"/>
      <c r="X542" s="545"/>
      <c r="Y542" s="545"/>
      <c r="Z542" s="545"/>
      <c r="AA542" s="545"/>
      <c r="AB542" s="545"/>
      <c r="AC542" s="545"/>
    </row>
    <row r="543" spans="1:29" ht="12.75" customHeight="1">
      <c r="A543" s="545"/>
      <c r="B543" s="545"/>
      <c r="C543" s="545"/>
      <c r="D543" s="545"/>
      <c r="E543" s="545"/>
      <c r="F543" s="545"/>
      <c r="H543" s="545"/>
      <c r="I543" s="545"/>
      <c r="J543" s="545"/>
      <c r="K543" s="545"/>
      <c r="L543" s="545"/>
      <c r="M543" s="545"/>
      <c r="N543" s="545"/>
      <c r="O543" s="545"/>
      <c r="P543" s="545"/>
      <c r="Q543" s="545"/>
      <c r="R543" s="545"/>
      <c r="S543" s="545"/>
      <c r="W543" s="545"/>
      <c r="X543" s="545"/>
      <c r="Y543" s="545"/>
      <c r="Z543" s="545"/>
      <c r="AA543" s="545"/>
      <c r="AB543" s="545"/>
      <c r="AC543" s="545"/>
    </row>
    <row r="544" spans="1:29" ht="12.75" customHeight="1">
      <c r="A544" s="545"/>
      <c r="B544" s="545"/>
      <c r="C544" s="545"/>
      <c r="D544" s="545"/>
      <c r="E544" s="545"/>
      <c r="F544" s="545"/>
      <c r="H544" s="545"/>
      <c r="I544" s="545"/>
      <c r="J544" s="545"/>
      <c r="K544" s="545"/>
      <c r="L544" s="545"/>
      <c r="M544" s="545"/>
      <c r="N544" s="545"/>
      <c r="O544" s="545"/>
      <c r="P544" s="545"/>
      <c r="Q544" s="545"/>
      <c r="R544" s="545"/>
      <c r="S544" s="545"/>
      <c r="W544" s="545"/>
      <c r="X544" s="545"/>
      <c r="Y544" s="545"/>
      <c r="Z544" s="545"/>
      <c r="AA544" s="545"/>
      <c r="AB544" s="545"/>
      <c r="AC544" s="545"/>
    </row>
    <row r="545" spans="1:29" ht="12.75" customHeight="1">
      <c r="A545" s="545"/>
      <c r="B545" s="545"/>
      <c r="C545" s="545"/>
      <c r="D545" s="545"/>
      <c r="E545" s="545"/>
      <c r="F545" s="545"/>
      <c r="H545" s="545"/>
      <c r="I545" s="545"/>
      <c r="J545" s="545"/>
      <c r="K545" s="545"/>
      <c r="L545" s="545"/>
      <c r="M545" s="545"/>
      <c r="N545" s="545"/>
      <c r="O545" s="545"/>
      <c r="P545" s="545"/>
      <c r="Q545" s="545"/>
      <c r="R545" s="545"/>
      <c r="S545" s="545"/>
      <c r="W545" s="545"/>
      <c r="X545" s="545"/>
      <c r="Y545" s="545"/>
      <c r="Z545" s="545"/>
      <c r="AA545" s="545"/>
      <c r="AB545" s="545"/>
      <c r="AC545" s="545"/>
    </row>
    <row r="546" spans="1:29" ht="12.75" customHeight="1">
      <c r="A546" s="545"/>
      <c r="B546" s="545"/>
      <c r="C546" s="545"/>
      <c r="D546" s="545"/>
      <c r="E546" s="545"/>
      <c r="F546" s="545"/>
      <c r="H546" s="545"/>
      <c r="I546" s="545"/>
      <c r="J546" s="545"/>
      <c r="K546" s="545"/>
      <c r="L546" s="545"/>
      <c r="M546" s="545"/>
      <c r="N546" s="545"/>
      <c r="O546" s="545"/>
      <c r="P546" s="545"/>
      <c r="Q546" s="545"/>
      <c r="R546" s="545"/>
      <c r="S546" s="545"/>
      <c r="W546" s="545"/>
      <c r="X546" s="545"/>
      <c r="Y546" s="545"/>
      <c r="Z546" s="545"/>
      <c r="AA546" s="545"/>
      <c r="AB546" s="545"/>
      <c r="AC546" s="545"/>
    </row>
    <row r="547" spans="1:29" ht="12.75" customHeight="1">
      <c r="A547" s="545"/>
      <c r="B547" s="545"/>
      <c r="C547" s="545"/>
      <c r="D547" s="545"/>
      <c r="E547" s="545"/>
      <c r="F547" s="545"/>
      <c r="H547" s="545"/>
      <c r="I547" s="545"/>
      <c r="J547" s="545"/>
      <c r="K547" s="545"/>
      <c r="L547" s="545"/>
      <c r="M547" s="545"/>
      <c r="N547" s="545"/>
      <c r="O547" s="545"/>
      <c r="P547" s="545"/>
      <c r="Q547" s="545"/>
      <c r="R547" s="545"/>
      <c r="S547" s="545"/>
      <c r="W547" s="545"/>
      <c r="X547" s="545"/>
      <c r="Y547" s="545"/>
      <c r="Z547" s="545"/>
      <c r="AA547" s="545"/>
      <c r="AB547" s="545"/>
      <c r="AC547" s="545"/>
    </row>
    <row r="548" spans="1:29" ht="12.75" customHeight="1">
      <c r="A548" s="545"/>
      <c r="B548" s="545"/>
      <c r="C548" s="545"/>
      <c r="D548" s="545"/>
      <c r="E548" s="545"/>
      <c r="F548" s="545"/>
      <c r="H548" s="545"/>
      <c r="I548" s="545"/>
      <c r="J548" s="545"/>
      <c r="K548" s="545"/>
      <c r="L548" s="545"/>
      <c r="M548" s="545"/>
      <c r="N548" s="545"/>
      <c r="O548" s="545"/>
      <c r="P548" s="545"/>
      <c r="Q548" s="545"/>
      <c r="R548" s="545"/>
      <c r="S548" s="545"/>
      <c r="W548" s="545"/>
      <c r="X548" s="545"/>
      <c r="Y548" s="545"/>
      <c r="Z548" s="545"/>
      <c r="AA548" s="545"/>
      <c r="AB548" s="545"/>
      <c r="AC548" s="545"/>
    </row>
    <row r="549" spans="1:29" ht="12.75" customHeight="1">
      <c r="A549" s="545"/>
      <c r="B549" s="545"/>
      <c r="C549" s="545"/>
      <c r="D549" s="545"/>
      <c r="E549" s="545"/>
      <c r="F549" s="545"/>
      <c r="H549" s="545"/>
      <c r="I549" s="545"/>
      <c r="J549" s="545"/>
      <c r="K549" s="545"/>
      <c r="L549" s="545"/>
      <c r="M549" s="545"/>
      <c r="N549" s="545"/>
      <c r="O549" s="545"/>
      <c r="P549" s="545"/>
      <c r="Q549" s="545"/>
      <c r="R549" s="545"/>
      <c r="S549" s="545"/>
      <c r="W549" s="545"/>
      <c r="X549" s="545"/>
      <c r="Y549" s="545"/>
      <c r="Z549" s="545"/>
      <c r="AA549" s="545"/>
      <c r="AB549" s="545"/>
      <c r="AC549" s="545"/>
    </row>
    <row r="550" spans="1:29" ht="12.75" customHeight="1">
      <c r="A550" s="545"/>
      <c r="B550" s="545"/>
      <c r="C550" s="545"/>
      <c r="D550" s="545"/>
      <c r="E550" s="545"/>
      <c r="F550" s="545"/>
      <c r="H550" s="545"/>
      <c r="I550" s="545"/>
      <c r="J550" s="545"/>
      <c r="K550" s="545"/>
      <c r="L550" s="545"/>
      <c r="M550" s="545"/>
      <c r="N550" s="545"/>
      <c r="O550" s="545"/>
      <c r="P550" s="545"/>
      <c r="Q550" s="545"/>
      <c r="R550" s="545"/>
      <c r="S550" s="545"/>
      <c r="W550" s="545"/>
      <c r="X550" s="545"/>
      <c r="Y550" s="545"/>
      <c r="Z550" s="545"/>
      <c r="AA550" s="545"/>
      <c r="AB550" s="545"/>
      <c r="AC550" s="545"/>
    </row>
    <row r="551" spans="1:29" ht="12.75" customHeight="1">
      <c r="A551" s="545"/>
      <c r="B551" s="545"/>
      <c r="C551" s="545"/>
      <c r="D551" s="545"/>
      <c r="E551" s="545"/>
      <c r="F551" s="545"/>
      <c r="H551" s="545"/>
      <c r="I551" s="545"/>
      <c r="J551" s="545"/>
      <c r="K551" s="545"/>
      <c r="L551" s="545"/>
      <c r="M551" s="545"/>
      <c r="N551" s="545"/>
      <c r="O551" s="545"/>
      <c r="P551" s="545"/>
      <c r="Q551" s="545"/>
      <c r="R551" s="545"/>
      <c r="S551" s="545"/>
      <c r="W551" s="545"/>
      <c r="X551" s="545"/>
      <c r="Y551" s="545"/>
      <c r="Z551" s="545"/>
      <c r="AA551" s="545"/>
      <c r="AB551" s="545"/>
      <c r="AC551" s="545"/>
    </row>
    <row r="552" spans="1:29" ht="12.75" customHeight="1">
      <c r="A552" s="545"/>
      <c r="B552" s="545"/>
      <c r="C552" s="545"/>
      <c r="D552" s="545"/>
      <c r="E552" s="545"/>
      <c r="F552" s="545"/>
      <c r="H552" s="545"/>
      <c r="I552" s="545"/>
      <c r="J552" s="545"/>
      <c r="K552" s="545"/>
      <c r="L552" s="545"/>
      <c r="M552" s="545"/>
      <c r="N552" s="545"/>
      <c r="O552" s="545"/>
      <c r="P552" s="545"/>
      <c r="Q552" s="545"/>
      <c r="R552" s="545"/>
      <c r="S552" s="545"/>
      <c r="W552" s="545"/>
      <c r="X552" s="545"/>
      <c r="Y552" s="545"/>
      <c r="Z552" s="545"/>
      <c r="AA552" s="545"/>
      <c r="AB552" s="545"/>
      <c r="AC552" s="545"/>
    </row>
    <row r="553" spans="1:29" ht="12.75" customHeight="1">
      <c r="A553" s="545"/>
      <c r="B553" s="545"/>
      <c r="C553" s="545"/>
      <c r="D553" s="545"/>
      <c r="E553" s="545"/>
      <c r="F553" s="545"/>
      <c r="H553" s="545"/>
      <c r="I553" s="545"/>
      <c r="J553" s="545"/>
      <c r="K553" s="545"/>
      <c r="L553" s="545"/>
      <c r="M553" s="545"/>
      <c r="N553" s="545"/>
      <c r="O553" s="545"/>
      <c r="P553" s="545"/>
      <c r="Q553" s="545"/>
      <c r="R553" s="545"/>
      <c r="S553" s="545"/>
      <c r="W553" s="545"/>
      <c r="X553" s="545"/>
      <c r="Y553" s="545"/>
      <c r="Z553" s="545"/>
      <c r="AA553" s="545"/>
      <c r="AB553" s="545"/>
      <c r="AC553" s="545"/>
    </row>
    <row r="554" spans="1:29" ht="12.75" customHeight="1">
      <c r="A554" s="545"/>
      <c r="B554" s="545"/>
      <c r="C554" s="545"/>
      <c r="D554" s="545"/>
      <c r="E554" s="545"/>
      <c r="F554" s="545"/>
      <c r="H554" s="545"/>
      <c r="I554" s="545"/>
      <c r="J554" s="545"/>
      <c r="K554" s="545"/>
      <c r="L554" s="545"/>
      <c r="M554" s="545"/>
      <c r="N554" s="545"/>
      <c r="O554" s="545"/>
      <c r="P554" s="545"/>
      <c r="Q554" s="545"/>
      <c r="R554" s="545"/>
      <c r="S554" s="545"/>
      <c r="W554" s="545"/>
      <c r="X554" s="545"/>
      <c r="Y554" s="545"/>
      <c r="Z554" s="545"/>
      <c r="AA554" s="545"/>
      <c r="AB554" s="545"/>
      <c r="AC554" s="545"/>
    </row>
    <row r="555" spans="1:29" ht="12.75" customHeight="1">
      <c r="A555" s="545"/>
      <c r="B555" s="545"/>
      <c r="C555" s="545"/>
      <c r="D555" s="545"/>
      <c r="E555" s="545"/>
      <c r="F555" s="545"/>
      <c r="H555" s="545"/>
      <c r="I555" s="545"/>
      <c r="J555" s="545"/>
      <c r="K555" s="545"/>
      <c r="L555" s="545"/>
      <c r="M555" s="545"/>
      <c r="N555" s="545"/>
      <c r="O555" s="545"/>
      <c r="P555" s="545"/>
      <c r="Q555" s="545"/>
      <c r="R555" s="545"/>
      <c r="S555" s="545"/>
      <c r="W555" s="545"/>
      <c r="X555" s="545"/>
      <c r="Y555" s="545"/>
      <c r="Z555" s="545"/>
      <c r="AA555" s="545"/>
      <c r="AB555" s="545"/>
      <c r="AC555" s="545"/>
    </row>
    <row r="556" spans="1:29" ht="12.75" customHeight="1">
      <c r="A556" s="545"/>
      <c r="B556" s="545"/>
      <c r="C556" s="545"/>
      <c r="D556" s="545"/>
      <c r="E556" s="545"/>
      <c r="F556" s="545"/>
      <c r="H556" s="545"/>
      <c r="I556" s="545"/>
      <c r="J556" s="545"/>
      <c r="K556" s="545"/>
      <c r="L556" s="545"/>
      <c r="M556" s="545"/>
      <c r="N556" s="545"/>
      <c r="O556" s="545"/>
      <c r="P556" s="545"/>
      <c r="Q556" s="545"/>
      <c r="R556" s="545"/>
      <c r="S556" s="545"/>
      <c r="W556" s="545"/>
      <c r="X556" s="545"/>
      <c r="Y556" s="545"/>
      <c r="Z556" s="545"/>
      <c r="AA556" s="545"/>
      <c r="AB556" s="545"/>
      <c r="AC556" s="545"/>
    </row>
    <row r="557" spans="1:29" ht="12.75" customHeight="1">
      <c r="A557" s="545"/>
      <c r="B557" s="545"/>
      <c r="C557" s="545"/>
      <c r="D557" s="545"/>
      <c r="E557" s="545"/>
      <c r="F557" s="545"/>
      <c r="H557" s="545"/>
      <c r="I557" s="545"/>
      <c r="J557" s="545"/>
      <c r="K557" s="545"/>
      <c r="L557" s="545"/>
      <c r="M557" s="545"/>
      <c r="N557" s="545"/>
      <c r="O557" s="545"/>
      <c r="P557" s="545"/>
      <c r="Q557" s="545"/>
      <c r="R557" s="545"/>
      <c r="S557" s="545"/>
      <c r="W557" s="545"/>
      <c r="X557" s="545"/>
      <c r="Y557" s="545"/>
      <c r="Z557" s="545"/>
      <c r="AA557" s="545"/>
      <c r="AB557" s="545"/>
      <c r="AC557" s="545"/>
    </row>
    <row r="558" spans="1:29" ht="12.75" customHeight="1">
      <c r="A558" s="545"/>
      <c r="B558" s="545"/>
      <c r="C558" s="545"/>
      <c r="D558" s="545"/>
      <c r="E558" s="545"/>
      <c r="F558" s="545"/>
      <c r="H558" s="545"/>
      <c r="I558" s="545"/>
      <c r="J558" s="545"/>
      <c r="K558" s="545"/>
      <c r="L558" s="545"/>
      <c r="M558" s="545"/>
      <c r="N558" s="545"/>
      <c r="O558" s="545"/>
      <c r="P558" s="545"/>
      <c r="Q558" s="545"/>
      <c r="R558" s="545"/>
      <c r="S558" s="545"/>
      <c r="W558" s="545"/>
      <c r="X558" s="545"/>
      <c r="Y558" s="545"/>
      <c r="Z558" s="545"/>
      <c r="AA558" s="545"/>
      <c r="AB558" s="545"/>
      <c r="AC558" s="545"/>
    </row>
    <row r="559" spans="1:29" ht="12.75" customHeight="1">
      <c r="A559" s="545"/>
      <c r="B559" s="545"/>
      <c r="C559" s="545"/>
      <c r="D559" s="545"/>
      <c r="E559" s="545"/>
      <c r="F559" s="545"/>
      <c r="H559" s="545"/>
      <c r="I559" s="545"/>
      <c r="J559" s="545"/>
      <c r="K559" s="545"/>
      <c r="L559" s="545"/>
      <c r="M559" s="545"/>
      <c r="N559" s="545"/>
      <c r="O559" s="545"/>
      <c r="P559" s="545"/>
      <c r="Q559" s="545"/>
      <c r="R559" s="545"/>
      <c r="S559" s="545"/>
      <c r="W559" s="545"/>
      <c r="X559" s="545"/>
      <c r="Y559" s="545"/>
      <c r="Z559" s="545"/>
      <c r="AA559" s="545"/>
      <c r="AB559" s="545"/>
      <c r="AC559" s="545"/>
    </row>
    <row r="560" spans="1:29" ht="12.75" customHeight="1">
      <c r="A560" s="545"/>
      <c r="B560" s="545"/>
      <c r="C560" s="545"/>
      <c r="D560" s="545"/>
      <c r="E560" s="545"/>
      <c r="F560" s="545"/>
      <c r="H560" s="545"/>
      <c r="I560" s="545"/>
      <c r="J560" s="545"/>
      <c r="K560" s="545"/>
      <c r="L560" s="545"/>
      <c r="M560" s="545"/>
      <c r="N560" s="545"/>
      <c r="O560" s="545"/>
      <c r="P560" s="545"/>
      <c r="Q560" s="545"/>
      <c r="R560" s="545"/>
      <c r="S560" s="545"/>
      <c r="W560" s="545"/>
      <c r="X560" s="545"/>
      <c r="Y560" s="545"/>
      <c r="Z560" s="545"/>
      <c r="AA560" s="545"/>
      <c r="AB560" s="545"/>
      <c r="AC560" s="545"/>
    </row>
    <row r="561" spans="1:29" ht="12.75" customHeight="1">
      <c r="A561" s="545"/>
      <c r="B561" s="545"/>
      <c r="C561" s="545"/>
      <c r="D561" s="545"/>
      <c r="E561" s="545"/>
      <c r="F561" s="545"/>
      <c r="H561" s="545"/>
      <c r="I561" s="545"/>
      <c r="J561" s="545"/>
      <c r="K561" s="545"/>
      <c r="L561" s="545"/>
      <c r="M561" s="545"/>
      <c r="N561" s="545"/>
      <c r="O561" s="545"/>
      <c r="P561" s="545"/>
      <c r="Q561" s="545"/>
      <c r="R561" s="545"/>
      <c r="S561" s="545"/>
      <c r="W561" s="545"/>
      <c r="X561" s="545"/>
      <c r="Y561" s="545"/>
      <c r="Z561" s="545"/>
      <c r="AA561" s="545"/>
      <c r="AB561" s="545"/>
      <c r="AC561" s="545"/>
    </row>
    <row r="562" spans="1:29" ht="12.75" customHeight="1">
      <c r="A562" s="545"/>
      <c r="B562" s="545"/>
      <c r="C562" s="545"/>
      <c r="D562" s="545"/>
      <c r="E562" s="545"/>
      <c r="F562" s="545"/>
      <c r="H562" s="545"/>
      <c r="I562" s="545"/>
      <c r="J562" s="545"/>
      <c r="K562" s="545"/>
      <c r="L562" s="545"/>
      <c r="M562" s="545"/>
      <c r="N562" s="545"/>
      <c r="O562" s="545"/>
      <c r="P562" s="545"/>
      <c r="Q562" s="545"/>
      <c r="R562" s="545"/>
      <c r="S562" s="545"/>
      <c r="W562" s="545"/>
      <c r="X562" s="545"/>
      <c r="Y562" s="545"/>
      <c r="Z562" s="545"/>
      <c r="AA562" s="545"/>
      <c r="AB562" s="545"/>
      <c r="AC562" s="545"/>
    </row>
    <row r="563" spans="1:29" ht="12.75" customHeight="1">
      <c r="A563" s="545"/>
      <c r="B563" s="545"/>
      <c r="C563" s="545"/>
      <c r="D563" s="545"/>
      <c r="E563" s="545"/>
      <c r="F563" s="545"/>
      <c r="H563" s="545"/>
      <c r="I563" s="545"/>
      <c r="J563" s="545"/>
      <c r="K563" s="545"/>
      <c r="L563" s="545"/>
      <c r="M563" s="545"/>
      <c r="N563" s="545"/>
      <c r="O563" s="545"/>
      <c r="P563" s="545"/>
      <c r="Q563" s="545"/>
      <c r="R563" s="545"/>
      <c r="S563" s="545"/>
      <c r="W563" s="545"/>
      <c r="X563" s="545"/>
      <c r="Y563" s="545"/>
      <c r="Z563" s="545"/>
      <c r="AA563" s="545"/>
      <c r="AB563" s="545"/>
      <c r="AC563" s="545"/>
    </row>
    <row r="564" spans="1:29" ht="12.75" customHeight="1">
      <c r="A564" s="545"/>
      <c r="B564" s="545"/>
      <c r="C564" s="545"/>
      <c r="D564" s="545"/>
      <c r="E564" s="545"/>
      <c r="F564" s="545"/>
      <c r="H564" s="545"/>
      <c r="I564" s="545"/>
      <c r="J564" s="545"/>
      <c r="K564" s="545"/>
      <c r="L564" s="545"/>
      <c r="M564" s="545"/>
      <c r="N564" s="545"/>
      <c r="O564" s="545"/>
      <c r="P564" s="545"/>
      <c r="Q564" s="545"/>
      <c r="R564" s="545"/>
      <c r="S564" s="545"/>
      <c r="W564" s="545"/>
      <c r="X564" s="545"/>
      <c r="Y564" s="545"/>
      <c r="Z564" s="545"/>
      <c r="AA564" s="545"/>
      <c r="AB564" s="545"/>
      <c r="AC564" s="545"/>
    </row>
    <row r="565" spans="1:29" ht="12.75" customHeight="1">
      <c r="A565" s="545"/>
      <c r="B565" s="545"/>
      <c r="C565" s="545"/>
      <c r="D565" s="545"/>
      <c r="E565" s="545"/>
      <c r="F565" s="545"/>
      <c r="H565" s="545"/>
      <c r="I565" s="545"/>
      <c r="J565" s="545"/>
      <c r="K565" s="545"/>
      <c r="L565" s="545"/>
      <c r="M565" s="545"/>
      <c r="N565" s="545"/>
      <c r="O565" s="545"/>
      <c r="P565" s="545"/>
      <c r="Q565" s="545"/>
      <c r="R565" s="545"/>
      <c r="S565" s="545"/>
      <c r="W565" s="545"/>
      <c r="X565" s="545"/>
      <c r="Y565" s="545"/>
      <c r="Z565" s="545"/>
      <c r="AA565" s="545"/>
      <c r="AB565" s="545"/>
      <c r="AC565" s="545"/>
    </row>
    <row r="566" spans="1:29" ht="12.75" customHeight="1">
      <c r="A566" s="545"/>
      <c r="B566" s="545"/>
      <c r="C566" s="545"/>
      <c r="D566" s="545"/>
      <c r="E566" s="545"/>
      <c r="F566" s="545"/>
      <c r="H566" s="545"/>
      <c r="I566" s="545"/>
      <c r="J566" s="545"/>
      <c r="K566" s="545"/>
      <c r="L566" s="545"/>
      <c r="M566" s="545"/>
      <c r="N566" s="545"/>
      <c r="O566" s="545"/>
      <c r="P566" s="545"/>
      <c r="Q566" s="545"/>
      <c r="R566" s="545"/>
      <c r="S566" s="545"/>
      <c r="W566" s="545"/>
      <c r="X566" s="545"/>
      <c r="Y566" s="545"/>
      <c r="Z566" s="545"/>
      <c r="AA566" s="545"/>
      <c r="AB566" s="545"/>
      <c r="AC566" s="545"/>
    </row>
    <row r="567" spans="1:29" ht="12.75" customHeight="1">
      <c r="A567" s="545"/>
      <c r="B567" s="545"/>
      <c r="C567" s="545"/>
      <c r="D567" s="545"/>
      <c r="E567" s="545"/>
      <c r="F567" s="545"/>
      <c r="H567" s="545"/>
      <c r="I567" s="545"/>
      <c r="J567" s="545"/>
      <c r="K567" s="545"/>
      <c r="L567" s="545"/>
      <c r="M567" s="545"/>
      <c r="N567" s="545"/>
      <c r="O567" s="545"/>
      <c r="P567" s="545"/>
      <c r="Q567" s="545"/>
      <c r="R567" s="545"/>
      <c r="S567" s="545"/>
      <c r="W567" s="545"/>
      <c r="X567" s="545"/>
      <c r="Y567" s="545"/>
      <c r="Z567" s="545"/>
      <c r="AA567" s="545"/>
      <c r="AB567" s="545"/>
      <c r="AC567" s="545"/>
    </row>
    <row r="568" spans="1:29" ht="12.75" customHeight="1">
      <c r="A568" s="545"/>
      <c r="B568" s="545"/>
      <c r="C568" s="545"/>
      <c r="D568" s="545"/>
      <c r="E568" s="545"/>
      <c r="F568" s="545"/>
      <c r="H568" s="545"/>
      <c r="I568" s="545"/>
      <c r="J568" s="545"/>
      <c r="K568" s="545"/>
      <c r="L568" s="545"/>
      <c r="M568" s="545"/>
      <c r="N568" s="545"/>
      <c r="O568" s="545"/>
      <c r="P568" s="545"/>
      <c r="Q568" s="545"/>
      <c r="R568" s="545"/>
      <c r="S568" s="545"/>
      <c r="W568" s="545"/>
      <c r="X568" s="545"/>
      <c r="Y568" s="545"/>
      <c r="Z568" s="545"/>
      <c r="AA568" s="545"/>
      <c r="AB568" s="545"/>
      <c r="AC568" s="545"/>
    </row>
    <row r="569" spans="1:29" ht="12.75" customHeight="1">
      <c r="A569" s="545"/>
      <c r="B569" s="545"/>
      <c r="C569" s="545"/>
      <c r="D569" s="545"/>
      <c r="E569" s="545"/>
      <c r="F569" s="545"/>
      <c r="H569" s="545"/>
      <c r="I569" s="545"/>
      <c r="J569" s="545"/>
      <c r="K569" s="545"/>
      <c r="L569" s="545"/>
      <c r="M569" s="545"/>
      <c r="N569" s="545"/>
      <c r="O569" s="545"/>
      <c r="P569" s="545"/>
      <c r="Q569" s="545"/>
      <c r="R569" s="545"/>
      <c r="S569" s="545"/>
      <c r="W569" s="545"/>
      <c r="X569" s="545"/>
      <c r="Y569" s="545"/>
      <c r="Z569" s="545"/>
      <c r="AA569" s="545"/>
      <c r="AB569" s="545"/>
      <c r="AC569" s="545"/>
    </row>
    <row r="570" spans="1:29" ht="12.75" customHeight="1">
      <c r="A570" s="545"/>
      <c r="B570" s="545"/>
      <c r="C570" s="545"/>
      <c r="D570" s="545"/>
      <c r="E570" s="545"/>
      <c r="F570" s="545"/>
      <c r="H570" s="545"/>
      <c r="I570" s="545"/>
      <c r="J570" s="545"/>
      <c r="K570" s="545"/>
      <c r="L570" s="545"/>
      <c r="M570" s="545"/>
      <c r="N570" s="545"/>
      <c r="O570" s="545"/>
      <c r="P570" s="545"/>
      <c r="Q570" s="545"/>
      <c r="R570" s="545"/>
      <c r="S570" s="545"/>
      <c r="W570" s="545"/>
      <c r="X570" s="545"/>
      <c r="Y570" s="545"/>
      <c r="Z570" s="545"/>
      <c r="AA570" s="545"/>
      <c r="AB570" s="545"/>
      <c r="AC570" s="545"/>
    </row>
    <row r="571" spans="1:29" ht="12.75" customHeight="1">
      <c r="A571" s="545"/>
      <c r="B571" s="545"/>
      <c r="C571" s="545"/>
      <c r="D571" s="545"/>
      <c r="E571" s="545"/>
      <c r="F571" s="545"/>
      <c r="H571" s="545"/>
      <c r="I571" s="545"/>
      <c r="J571" s="545"/>
      <c r="K571" s="545"/>
      <c r="L571" s="545"/>
      <c r="M571" s="545"/>
      <c r="N571" s="545"/>
      <c r="O571" s="545"/>
      <c r="P571" s="545"/>
      <c r="Q571" s="545"/>
      <c r="R571" s="545"/>
      <c r="S571" s="545"/>
      <c r="W571" s="545"/>
      <c r="X571" s="545"/>
      <c r="Y571" s="545"/>
      <c r="Z571" s="545"/>
      <c r="AA571" s="545"/>
      <c r="AB571" s="545"/>
      <c r="AC571" s="545"/>
    </row>
    <row r="572" spans="1:29" ht="12.75" customHeight="1">
      <c r="A572" s="545"/>
      <c r="B572" s="545"/>
      <c r="C572" s="545"/>
      <c r="D572" s="545"/>
      <c r="E572" s="545"/>
      <c r="F572" s="545"/>
      <c r="H572" s="545"/>
      <c r="I572" s="545"/>
      <c r="J572" s="545"/>
      <c r="K572" s="545"/>
      <c r="L572" s="545"/>
      <c r="M572" s="545"/>
      <c r="N572" s="545"/>
      <c r="O572" s="545"/>
      <c r="P572" s="545"/>
      <c r="Q572" s="545"/>
      <c r="R572" s="545"/>
      <c r="S572" s="545"/>
      <c r="W572" s="545"/>
      <c r="X572" s="545"/>
      <c r="Y572" s="545"/>
      <c r="Z572" s="545"/>
      <c r="AA572" s="545"/>
      <c r="AB572" s="545"/>
      <c r="AC572" s="545"/>
    </row>
    <row r="573" spans="1:29" ht="12.75" customHeight="1">
      <c r="A573" s="545"/>
      <c r="B573" s="545"/>
      <c r="C573" s="545"/>
      <c r="D573" s="545"/>
      <c r="E573" s="545"/>
      <c r="F573" s="545"/>
      <c r="H573" s="545"/>
      <c r="I573" s="545"/>
      <c r="J573" s="545"/>
      <c r="K573" s="545"/>
      <c r="L573" s="545"/>
      <c r="M573" s="545"/>
      <c r="N573" s="545"/>
      <c r="O573" s="545"/>
      <c r="P573" s="545"/>
      <c r="Q573" s="545"/>
      <c r="R573" s="545"/>
      <c r="S573" s="545"/>
      <c r="W573" s="545"/>
      <c r="X573" s="545"/>
      <c r="Y573" s="545"/>
      <c r="Z573" s="545"/>
      <c r="AA573" s="545"/>
      <c r="AB573" s="545"/>
      <c r="AC573" s="545"/>
    </row>
    <row r="574" spans="1:29" ht="12.75" customHeight="1">
      <c r="A574" s="545"/>
      <c r="B574" s="545"/>
      <c r="C574" s="545"/>
      <c r="D574" s="545"/>
      <c r="E574" s="545"/>
      <c r="F574" s="545"/>
      <c r="H574" s="545"/>
      <c r="I574" s="545"/>
      <c r="J574" s="545"/>
      <c r="K574" s="545"/>
      <c r="L574" s="545"/>
      <c r="M574" s="545"/>
      <c r="N574" s="545"/>
      <c r="O574" s="545"/>
      <c r="P574" s="545"/>
      <c r="Q574" s="545"/>
      <c r="R574" s="545"/>
      <c r="S574" s="545"/>
      <c r="W574" s="545"/>
      <c r="X574" s="545"/>
      <c r="Y574" s="545"/>
      <c r="Z574" s="545"/>
      <c r="AA574" s="545"/>
      <c r="AB574" s="545"/>
      <c r="AC574" s="545"/>
    </row>
    <row r="575" spans="1:29" ht="12.75" customHeight="1">
      <c r="A575" s="545"/>
      <c r="B575" s="545"/>
      <c r="C575" s="545"/>
      <c r="D575" s="545"/>
      <c r="E575" s="545"/>
      <c r="F575" s="545"/>
      <c r="H575" s="545"/>
      <c r="I575" s="545"/>
      <c r="J575" s="545"/>
      <c r="K575" s="545"/>
      <c r="L575" s="545"/>
      <c r="M575" s="545"/>
      <c r="N575" s="545"/>
      <c r="O575" s="545"/>
      <c r="P575" s="545"/>
      <c r="Q575" s="545"/>
      <c r="R575" s="545"/>
      <c r="S575" s="545"/>
      <c r="W575" s="545"/>
      <c r="X575" s="545"/>
      <c r="Y575" s="545"/>
      <c r="Z575" s="545"/>
      <c r="AA575" s="545"/>
      <c r="AB575" s="545"/>
      <c r="AC575" s="545"/>
    </row>
    <row r="576" spans="1:29" ht="12.75" customHeight="1">
      <c r="A576" s="545"/>
      <c r="B576" s="545"/>
      <c r="C576" s="545"/>
      <c r="D576" s="545"/>
      <c r="E576" s="545"/>
      <c r="F576" s="545"/>
      <c r="H576" s="545"/>
      <c r="I576" s="545"/>
      <c r="J576" s="545"/>
      <c r="K576" s="545"/>
      <c r="L576" s="545"/>
      <c r="M576" s="545"/>
      <c r="N576" s="545"/>
      <c r="O576" s="545"/>
      <c r="P576" s="545"/>
      <c r="Q576" s="545"/>
      <c r="R576" s="545"/>
      <c r="S576" s="545"/>
      <c r="W576" s="545"/>
      <c r="X576" s="545"/>
      <c r="Y576" s="545"/>
      <c r="Z576" s="545"/>
      <c r="AA576" s="545"/>
      <c r="AB576" s="545"/>
      <c r="AC576" s="545"/>
    </row>
    <row r="577" spans="1:29" ht="12.75" customHeight="1">
      <c r="A577" s="545"/>
      <c r="B577" s="545"/>
      <c r="C577" s="545"/>
      <c r="D577" s="545"/>
      <c r="E577" s="545"/>
      <c r="F577" s="545"/>
      <c r="H577" s="545"/>
      <c r="I577" s="545"/>
      <c r="J577" s="545"/>
      <c r="K577" s="545"/>
      <c r="L577" s="545"/>
      <c r="M577" s="545"/>
      <c r="N577" s="545"/>
      <c r="O577" s="545"/>
      <c r="P577" s="545"/>
      <c r="Q577" s="545"/>
      <c r="R577" s="545"/>
      <c r="S577" s="545"/>
      <c r="W577" s="545"/>
      <c r="X577" s="545"/>
      <c r="Y577" s="545"/>
      <c r="Z577" s="545"/>
      <c r="AA577" s="545"/>
      <c r="AB577" s="545"/>
      <c r="AC577" s="545"/>
    </row>
    <row r="578" spans="1:29" ht="12.75" customHeight="1">
      <c r="A578" s="545"/>
      <c r="B578" s="545"/>
      <c r="C578" s="545"/>
      <c r="D578" s="545"/>
      <c r="E578" s="545"/>
      <c r="F578" s="545"/>
      <c r="H578" s="545"/>
      <c r="I578" s="545"/>
      <c r="J578" s="545"/>
      <c r="K578" s="545"/>
      <c r="L578" s="545"/>
      <c r="M578" s="545"/>
      <c r="N578" s="545"/>
      <c r="O578" s="545"/>
      <c r="P578" s="545"/>
      <c r="Q578" s="545"/>
      <c r="R578" s="545"/>
      <c r="S578" s="545"/>
      <c r="W578" s="545"/>
      <c r="X578" s="545"/>
      <c r="Y578" s="545"/>
      <c r="Z578" s="545"/>
      <c r="AA578" s="545"/>
      <c r="AB578" s="545"/>
      <c r="AC578" s="545"/>
    </row>
    <row r="579" spans="1:29" ht="12.75" customHeight="1">
      <c r="A579" s="545"/>
      <c r="B579" s="545"/>
      <c r="C579" s="545"/>
      <c r="D579" s="545"/>
      <c r="E579" s="545"/>
      <c r="F579" s="545"/>
      <c r="H579" s="545"/>
      <c r="I579" s="545"/>
      <c r="J579" s="545"/>
      <c r="K579" s="545"/>
      <c r="L579" s="545"/>
      <c r="M579" s="545"/>
      <c r="N579" s="545"/>
      <c r="O579" s="545"/>
      <c r="P579" s="545"/>
      <c r="Q579" s="545"/>
      <c r="R579" s="545"/>
      <c r="S579" s="545"/>
      <c r="W579" s="545"/>
      <c r="X579" s="545"/>
      <c r="Y579" s="545"/>
      <c r="Z579" s="545"/>
      <c r="AA579" s="545"/>
      <c r="AB579" s="545"/>
      <c r="AC579" s="545"/>
    </row>
    <row r="580" spans="1:29" ht="12.75" customHeight="1">
      <c r="A580" s="545"/>
      <c r="B580" s="545"/>
      <c r="C580" s="545"/>
      <c r="D580" s="545"/>
      <c r="E580" s="545"/>
      <c r="F580" s="545"/>
      <c r="H580" s="545"/>
      <c r="I580" s="545"/>
      <c r="J580" s="545"/>
      <c r="K580" s="545"/>
      <c r="L580" s="545"/>
      <c r="M580" s="545"/>
      <c r="N580" s="545"/>
      <c r="O580" s="545"/>
      <c r="P580" s="545"/>
      <c r="Q580" s="545"/>
      <c r="R580" s="545"/>
      <c r="S580" s="545"/>
      <c r="W580" s="545"/>
      <c r="X580" s="545"/>
      <c r="Y580" s="545"/>
      <c r="Z580" s="545"/>
      <c r="AA580" s="545"/>
      <c r="AB580" s="545"/>
      <c r="AC580" s="545"/>
    </row>
    <row r="581" spans="1:29" ht="12.75" customHeight="1">
      <c r="A581" s="545"/>
      <c r="B581" s="545"/>
      <c r="C581" s="545"/>
      <c r="D581" s="545"/>
      <c r="E581" s="545"/>
      <c r="F581" s="545"/>
      <c r="H581" s="545"/>
      <c r="I581" s="545"/>
      <c r="J581" s="545"/>
      <c r="K581" s="545"/>
      <c r="L581" s="545"/>
      <c r="M581" s="545"/>
      <c r="N581" s="545"/>
      <c r="O581" s="545"/>
      <c r="P581" s="545"/>
      <c r="Q581" s="545"/>
      <c r="R581" s="545"/>
      <c r="S581" s="545"/>
      <c r="W581" s="545"/>
      <c r="X581" s="545"/>
      <c r="Y581" s="545"/>
      <c r="Z581" s="545"/>
      <c r="AA581" s="545"/>
      <c r="AB581" s="545"/>
      <c r="AC581" s="545"/>
    </row>
    <row r="582" spans="1:29" ht="12.75" customHeight="1">
      <c r="A582" s="545"/>
      <c r="B582" s="545"/>
      <c r="C582" s="545"/>
      <c r="D582" s="545"/>
      <c r="E582" s="545"/>
      <c r="F582" s="545"/>
      <c r="H582" s="545"/>
      <c r="I582" s="545"/>
      <c r="J582" s="545"/>
      <c r="K582" s="545"/>
      <c r="L582" s="545"/>
      <c r="M582" s="545"/>
      <c r="N582" s="545"/>
      <c r="O582" s="545"/>
      <c r="P582" s="545"/>
      <c r="Q582" s="545"/>
      <c r="R582" s="545"/>
      <c r="S582" s="545"/>
      <c r="W582" s="545"/>
      <c r="X582" s="545"/>
      <c r="Y582" s="545"/>
      <c r="Z582" s="545"/>
      <c r="AA582" s="545"/>
      <c r="AB582" s="545"/>
      <c r="AC582" s="545"/>
    </row>
    <row r="583" spans="1:29" ht="12.75" customHeight="1">
      <c r="A583" s="545"/>
      <c r="B583" s="545"/>
      <c r="C583" s="545"/>
      <c r="D583" s="545"/>
      <c r="E583" s="545"/>
      <c r="F583" s="545"/>
      <c r="H583" s="545"/>
      <c r="I583" s="545"/>
      <c r="J583" s="545"/>
      <c r="K583" s="545"/>
      <c r="L583" s="545"/>
      <c r="M583" s="545"/>
      <c r="N583" s="545"/>
      <c r="O583" s="545"/>
      <c r="P583" s="545"/>
      <c r="Q583" s="545"/>
      <c r="R583" s="545"/>
      <c r="S583" s="545"/>
      <c r="W583" s="545"/>
      <c r="X583" s="545"/>
      <c r="Y583" s="545"/>
      <c r="Z583" s="545"/>
      <c r="AA583" s="545"/>
      <c r="AB583" s="545"/>
      <c r="AC583" s="545"/>
    </row>
    <row r="584" spans="1:29" ht="12.75" customHeight="1">
      <c r="A584" s="545"/>
      <c r="B584" s="545"/>
      <c r="C584" s="545"/>
      <c r="D584" s="545"/>
      <c r="E584" s="545"/>
      <c r="F584" s="545"/>
      <c r="H584" s="545"/>
      <c r="I584" s="545"/>
      <c r="J584" s="545"/>
      <c r="K584" s="545"/>
      <c r="L584" s="545"/>
      <c r="M584" s="545"/>
      <c r="N584" s="545"/>
      <c r="O584" s="545"/>
      <c r="P584" s="545"/>
      <c r="Q584" s="545"/>
      <c r="R584" s="545"/>
      <c r="S584" s="545"/>
      <c r="W584" s="545"/>
      <c r="X584" s="545"/>
      <c r="Y584" s="545"/>
      <c r="Z584" s="545"/>
      <c r="AA584" s="545"/>
      <c r="AB584" s="545"/>
      <c r="AC584" s="545"/>
    </row>
    <row r="585" spans="1:29" ht="12.75" customHeight="1">
      <c r="A585" s="545"/>
      <c r="B585" s="545"/>
      <c r="C585" s="545"/>
      <c r="D585" s="545"/>
      <c r="E585" s="545"/>
      <c r="F585" s="545"/>
      <c r="H585" s="545"/>
      <c r="I585" s="545"/>
      <c r="J585" s="545"/>
      <c r="K585" s="545"/>
      <c r="L585" s="545"/>
      <c r="M585" s="545"/>
      <c r="N585" s="545"/>
      <c r="O585" s="545"/>
      <c r="P585" s="545"/>
      <c r="Q585" s="545"/>
      <c r="R585" s="545"/>
      <c r="S585" s="545"/>
      <c r="W585" s="545"/>
      <c r="X585" s="545"/>
      <c r="Y585" s="545"/>
      <c r="Z585" s="545"/>
      <c r="AA585" s="545"/>
      <c r="AB585" s="545"/>
      <c r="AC585" s="545"/>
    </row>
    <row r="586" spans="1:29" ht="12.75" customHeight="1">
      <c r="A586" s="545"/>
      <c r="B586" s="545"/>
      <c r="C586" s="545"/>
      <c r="D586" s="545"/>
      <c r="E586" s="545"/>
      <c r="F586" s="545"/>
      <c r="H586" s="545"/>
      <c r="I586" s="545"/>
      <c r="J586" s="545"/>
      <c r="K586" s="545"/>
      <c r="L586" s="545"/>
      <c r="M586" s="545"/>
      <c r="N586" s="545"/>
      <c r="O586" s="545"/>
      <c r="P586" s="545"/>
      <c r="Q586" s="545"/>
      <c r="R586" s="545"/>
      <c r="S586" s="545"/>
      <c r="W586" s="545"/>
      <c r="X586" s="545"/>
      <c r="Y586" s="545"/>
      <c r="Z586" s="545"/>
      <c r="AA586" s="545"/>
      <c r="AB586" s="545"/>
      <c r="AC586" s="545"/>
    </row>
    <row r="587" spans="1:29" ht="12.75" customHeight="1">
      <c r="A587" s="545"/>
      <c r="B587" s="545"/>
      <c r="C587" s="545"/>
      <c r="D587" s="545"/>
      <c r="E587" s="545"/>
      <c r="F587" s="545"/>
      <c r="H587" s="545"/>
      <c r="I587" s="545"/>
      <c r="J587" s="545"/>
      <c r="K587" s="545"/>
      <c r="L587" s="545"/>
      <c r="M587" s="545"/>
      <c r="N587" s="545"/>
      <c r="O587" s="545"/>
      <c r="P587" s="545"/>
      <c r="Q587" s="545"/>
      <c r="R587" s="545"/>
      <c r="S587" s="545"/>
      <c r="W587" s="545"/>
      <c r="X587" s="545"/>
      <c r="Y587" s="545"/>
      <c r="Z587" s="545"/>
      <c r="AA587" s="545"/>
      <c r="AB587" s="545"/>
      <c r="AC587" s="545"/>
    </row>
    <row r="588" spans="1:29" ht="12.75" customHeight="1">
      <c r="A588" s="545"/>
      <c r="B588" s="545"/>
      <c r="C588" s="545"/>
      <c r="D588" s="545"/>
      <c r="E588" s="545"/>
      <c r="F588" s="545"/>
      <c r="H588" s="545"/>
      <c r="I588" s="545"/>
      <c r="J588" s="545"/>
      <c r="K588" s="545"/>
      <c r="L588" s="545"/>
      <c r="M588" s="545"/>
      <c r="N588" s="545"/>
      <c r="O588" s="545"/>
      <c r="P588" s="545"/>
      <c r="Q588" s="545"/>
      <c r="R588" s="545"/>
      <c r="S588" s="545"/>
      <c r="W588" s="545"/>
      <c r="X588" s="545"/>
      <c r="Y588" s="545"/>
      <c r="Z588" s="545"/>
      <c r="AA588" s="545"/>
      <c r="AB588" s="545"/>
      <c r="AC588" s="545"/>
    </row>
    <row r="589" spans="1:29" ht="12.75" customHeight="1">
      <c r="A589" s="545"/>
      <c r="B589" s="545"/>
      <c r="C589" s="545"/>
      <c r="D589" s="545"/>
      <c r="E589" s="545"/>
      <c r="F589" s="545"/>
      <c r="H589" s="545"/>
      <c r="I589" s="545"/>
      <c r="J589" s="545"/>
      <c r="K589" s="545"/>
      <c r="L589" s="545"/>
      <c r="M589" s="545"/>
      <c r="N589" s="545"/>
      <c r="O589" s="545"/>
      <c r="P589" s="545"/>
      <c r="Q589" s="545"/>
      <c r="R589" s="545"/>
      <c r="S589" s="545"/>
      <c r="W589" s="545"/>
      <c r="X589" s="545"/>
      <c r="Y589" s="545"/>
      <c r="Z589" s="545"/>
      <c r="AA589" s="545"/>
      <c r="AB589" s="545"/>
      <c r="AC589" s="545"/>
    </row>
    <row r="590" spans="1:29" ht="12.75" customHeight="1">
      <c r="A590" s="545"/>
      <c r="B590" s="545"/>
      <c r="C590" s="545"/>
      <c r="D590" s="545"/>
      <c r="E590" s="545"/>
      <c r="F590" s="545"/>
      <c r="H590" s="545"/>
      <c r="I590" s="545"/>
      <c r="J590" s="545"/>
      <c r="K590" s="545"/>
      <c r="L590" s="545"/>
      <c r="M590" s="545"/>
      <c r="N590" s="545"/>
      <c r="O590" s="545"/>
      <c r="P590" s="545"/>
      <c r="Q590" s="545"/>
      <c r="R590" s="545"/>
      <c r="S590" s="545"/>
      <c r="W590" s="545"/>
      <c r="X590" s="545"/>
      <c r="Y590" s="545"/>
      <c r="Z590" s="545"/>
      <c r="AA590" s="545"/>
      <c r="AB590" s="545"/>
      <c r="AC590" s="545"/>
    </row>
    <row r="591" spans="1:29" ht="12.75" customHeight="1">
      <c r="A591" s="545"/>
      <c r="B591" s="545"/>
      <c r="C591" s="545"/>
      <c r="D591" s="545"/>
      <c r="E591" s="545"/>
      <c r="F591" s="545"/>
      <c r="H591" s="545"/>
      <c r="I591" s="545"/>
      <c r="J591" s="545"/>
      <c r="K591" s="545"/>
      <c r="L591" s="545"/>
      <c r="M591" s="545"/>
      <c r="N591" s="545"/>
      <c r="O591" s="545"/>
      <c r="P591" s="545"/>
      <c r="Q591" s="545"/>
      <c r="R591" s="545"/>
      <c r="S591" s="545"/>
      <c r="W591" s="545"/>
      <c r="X591" s="545"/>
      <c r="Y591" s="545"/>
      <c r="Z591" s="545"/>
      <c r="AA591" s="545"/>
      <c r="AB591" s="545"/>
      <c r="AC591" s="545"/>
    </row>
    <row r="592" spans="1:29" ht="12.75" customHeight="1">
      <c r="A592" s="545"/>
      <c r="B592" s="545"/>
      <c r="C592" s="545"/>
      <c r="D592" s="545"/>
      <c r="E592" s="545"/>
      <c r="F592" s="545"/>
      <c r="H592" s="545"/>
      <c r="I592" s="545"/>
      <c r="J592" s="545"/>
      <c r="K592" s="545"/>
      <c r="L592" s="545"/>
      <c r="M592" s="545"/>
      <c r="N592" s="545"/>
      <c r="O592" s="545"/>
      <c r="P592" s="545"/>
      <c r="Q592" s="545"/>
      <c r="R592" s="545"/>
      <c r="S592" s="545"/>
      <c r="W592" s="545"/>
      <c r="X592" s="545"/>
      <c r="Y592" s="545"/>
      <c r="Z592" s="545"/>
      <c r="AA592" s="545"/>
      <c r="AB592" s="545"/>
      <c r="AC592" s="545"/>
    </row>
    <row r="593" spans="1:29" ht="12.75" customHeight="1">
      <c r="A593" s="545"/>
      <c r="B593" s="545"/>
      <c r="C593" s="545"/>
      <c r="D593" s="545"/>
      <c r="E593" s="545"/>
      <c r="F593" s="545"/>
      <c r="H593" s="545"/>
      <c r="I593" s="545"/>
      <c r="J593" s="545"/>
      <c r="K593" s="545"/>
      <c r="L593" s="545"/>
      <c r="M593" s="545"/>
      <c r="N593" s="545"/>
      <c r="O593" s="545"/>
      <c r="P593" s="545"/>
      <c r="Q593" s="545"/>
      <c r="R593" s="545"/>
      <c r="S593" s="545"/>
      <c r="W593" s="545"/>
      <c r="X593" s="545"/>
      <c r="Y593" s="545"/>
      <c r="Z593" s="545"/>
      <c r="AA593" s="545"/>
      <c r="AB593" s="545"/>
      <c r="AC593" s="545"/>
    </row>
    <row r="594" spans="1:29" ht="12.75" customHeight="1">
      <c r="A594" s="545"/>
      <c r="B594" s="545"/>
      <c r="C594" s="545"/>
      <c r="D594" s="545"/>
      <c r="E594" s="545"/>
      <c r="F594" s="545"/>
      <c r="H594" s="545"/>
      <c r="I594" s="545"/>
      <c r="J594" s="545"/>
      <c r="K594" s="545"/>
      <c r="L594" s="545"/>
      <c r="M594" s="545"/>
      <c r="N594" s="545"/>
      <c r="O594" s="545"/>
      <c r="P594" s="545"/>
      <c r="Q594" s="545"/>
      <c r="R594" s="545"/>
      <c r="S594" s="545"/>
      <c r="W594" s="545"/>
      <c r="X594" s="545"/>
      <c r="Y594" s="545"/>
      <c r="Z594" s="545"/>
      <c r="AA594" s="545"/>
      <c r="AB594" s="545"/>
      <c r="AC594" s="545"/>
    </row>
    <row r="595" spans="1:29" ht="12.75" customHeight="1">
      <c r="A595" s="545"/>
      <c r="B595" s="545"/>
      <c r="C595" s="545"/>
      <c r="D595" s="545"/>
      <c r="E595" s="545"/>
      <c r="F595" s="545"/>
      <c r="H595" s="545"/>
      <c r="I595" s="545"/>
      <c r="J595" s="545"/>
      <c r="K595" s="545"/>
      <c r="L595" s="545"/>
      <c r="M595" s="545"/>
      <c r="N595" s="545"/>
      <c r="O595" s="545"/>
      <c r="P595" s="545"/>
      <c r="Q595" s="545"/>
      <c r="R595" s="545"/>
      <c r="S595" s="545"/>
      <c r="W595" s="545"/>
      <c r="X595" s="545"/>
      <c r="Y595" s="545"/>
      <c r="Z595" s="545"/>
      <c r="AA595" s="545"/>
      <c r="AB595" s="545"/>
      <c r="AC595" s="545"/>
    </row>
    <row r="596" spans="1:29" ht="12.75" customHeight="1">
      <c r="A596" s="545"/>
      <c r="B596" s="545"/>
      <c r="C596" s="545"/>
      <c r="D596" s="545"/>
      <c r="E596" s="545"/>
      <c r="F596" s="545"/>
      <c r="H596" s="545"/>
      <c r="I596" s="545"/>
      <c r="J596" s="545"/>
      <c r="K596" s="545"/>
      <c r="L596" s="545"/>
      <c r="M596" s="545"/>
      <c r="N596" s="545"/>
      <c r="O596" s="545"/>
      <c r="P596" s="545"/>
      <c r="Q596" s="545"/>
      <c r="R596" s="545"/>
      <c r="S596" s="545"/>
      <c r="W596" s="545"/>
      <c r="X596" s="545"/>
      <c r="Y596" s="545"/>
      <c r="Z596" s="545"/>
      <c r="AA596" s="545"/>
      <c r="AB596" s="545"/>
      <c r="AC596" s="545"/>
    </row>
    <row r="597" spans="1:29" ht="12.75" customHeight="1">
      <c r="A597" s="545"/>
      <c r="B597" s="545"/>
      <c r="C597" s="545"/>
      <c r="D597" s="545"/>
      <c r="E597" s="545"/>
      <c r="F597" s="545"/>
      <c r="H597" s="545"/>
      <c r="I597" s="545"/>
      <c r="J597" s="545"/>
      <c r="K597" s="545"/>
      <c r="L597" s="545"/>
      <c r="M597" s="545"/>
      <c r="N597" s="545"/>
      <c r="O597" s="545"/>
      <c r="P597" s="545"/>
      <c r="Q597" s="545"/>
      <c r="R597" s="545"/>
      <c r="S597" s="545"/>
      <c r="W597" s="545"/>
      <c r="X597" s="545"/>
      <c r="Y597" s="545"/>
      <c r="Z597" s="545"/>
      <c r="AA597" s="545"/>
      <c r="AB597" s="545"/>
      <c r="AC597" s="545"/>
    </row>
    <row r="598" spans="1:29" ht="12.75" customHeight="1">
      <c r="A598" s="545"/>
      <c r="B598" s="545"/>
      <c r="C598" s="545"/>
      <c r="D598" s="545"/>
      <c r="E598" s="545"/>
      <c r="F598" s="545"/>
      <c r="H598" s="545"/>
      <c r="I598" s="545"/>
      <c r="J598" s="545"/>
      <c r="K598" s="545"/>
      <c r="L598" s="545"/>
      <c r="M598" s="545"/>
      <c r="N598" s="545"/>
      <c r="O598" s="545"/>
      <c r="P598" s="545"/>
      <c r="Q598" s="545"/>
      <c r="R598" s="545"/>
      <c r="S598" s="545"/>
      <c r="W598" s="545"/>
      <c r="X598" s="545"/>
      <c r="Y598" s="545"/>
      <c r="Z598" s="545"/>
      <c r="AA598" s="545"/>
      <c r="AB598" s="545"/>
      <c r="AC598" s="545"/>
    </row>
    <row r="599" spans="1:29" ht="12.75" customHeight="1">
      <c r="A599" s="545"/>
      <c r="B599" s="545"/>
      <c r="C599" s="545"/>
      <c r="D599" s="545"/>
      <c r="E599" s="545"/>
      <c r="F599" s="545"/>
      <c r="H599" s="545"/>
      <c r="I599" s="545"/>
      <c r="J599" s="545"/>
      <c r="K599" s="545"/>
      <c r="L599" s="545"/>
      <c r="M599" s="545"/>
      <c r="N599" s="545"/>
      <c r="O599" s="545"/>
      <c r="P599" s="545"/>
      <c r="Q599" s="545"/>
      <c r="R599" s="545"/>
      <c r="S599" s="545"/>
      <c r="W599" s="545"/>
      <c r="X599" s="545"/>
      <c r="Y599" s="545"/>
      <c r="Z599" s="545"/>
      <c r="AA599" s="545"/>
      <c r="AB599" s="545"/>
      <c r="AC599" s="545"/>
    </row>
    <row r="600" spans="1:29" ht="12.75" customHeight="1">
      <c r="A600" s="545"/>
      <c r="B600" s="545"/>
      <c r="C600" s="545"/>
      <c r="D600" s="545"/>
      <c r="E600" s="545"/>
      <c r="F600" s="545"/>
      <c r="H600" s="545"/>
      <c r="I600" s="545"/>
      <c r="J600" s="545"/>
      <c r="K600" s="545"/>
      <c r="L600" s="545"/>
      <c r="M600" s="545"/>
      <c r="N600" s="545"/>
      <c r="O600" s="545"/>
      <c r="P600" s="545"/>
      <c r="Q600" s="545"/>
      <c r="R600" s="545"/>
      <c r="S600" s="545"/>
      <c r="W600" s="545"/>
      <c r="X600" s="545"/>
      <c r="Y600" s="545"/>
      <c r="Z600" s="545"/>
      <c r="AA600" s="545"/>
      <c r="AB600" s="545"/>
      <c r="AC600" s="545"/>
    </row>
    <row r="601" spans="1:29" ht="12.75" customHeight="1">
      <c r="A601" s="545"/>
      <c r="B601" s="545"/>
      <c r="C601" s="545"/>
      <c r="D601" s="545"/>
      <c r="E601" s="545"/>
      <c r="F601" s="545"/>
      <c r="H601" s="545"/>
      <c r="I601" s="545"/>
      <c r="J601" s="545"/>
      <c r="K601" s="545"/>
      <c r="L601" s="545"/>
      <c r="M601" s="545"/>
      <c r="N601" s="545"/>
      <c r="O601" s="545"/>
      <c r="P601" s="545"/>
      <c r="Q601" s="545"/>
      <c r="R601" s="545"/>
      <c r="S601" s="545"/>
      <c r="W601" s="545"/>
      <c r="X601" s="545"/>
      <c r="Y601" s="545"/>
      <c r="Z601" s="545"/>
      <c r="AA601" s="545"/>
      <c r="AB601" s="545"/>
      <c r="AC601" s="545"/>
    </row>
    <row r="602" spans="1:29" ht="12.75" customHeight="1">
      <c r="A602" s="545"/>
      <c r="B602" s="545"/>
      <c r="C602" s="545"/>
      <c r="D602" s="545"/>
      <c r="E602" s="545"/>
      <c r="F602" s="545"/>
      <c r="H602" s="545"/>
      <c r="I602" s="545"/>
      <c r="J602" s="545"/>
      <c r="K602" s="545"/>
      <c r="L602" s="545"/>
      <c r="M602" s="545"/>
      <c r="N602" s="545"/>
      <c r="O602" s="545"/>
      <c r="P602" s="545"/>
      <c r="Q602" s="545"/>
      <c r="R602" s="545"/>
      <c r="S602" s="545"/>
      <c r="W602" s="545"/>
      <c r="X602" s="545"/>
      <c r="Y602" s="545"/>
      <c r="Z602" s="545"/>
      <c r="AA602" s="545"/>
      <c r="AB602" s="545"/>
      <c r="AC602" s="545"/>
    </row>
    <row r="603" spans="1:29" ht="12.75" customHeight="1">
      <c r="A603" s="545"/>
      <c r="B603" s="545"/>
      <c r="C603" s="545"/>
      <c r="D603" s="545"/>
      <c r="E603" s="545"/>
      <c r="F603" s="545"/>
      <c r="H603" s="545"/>
      <c r="I603" s="545"/>
      <c r="J603" s="545"/>
      <c r="K603" s="545"/>
      <c r="L603" s="545"/>
      <c r="M603" s="545"/>
      <c r="N603" s="545"/>
      <c r="O603" s="545"/>
      <c r="P603" s="545"/>
      <c r="Q603" s="545"/>
      <c r="R603" s="545"/>
      <c r="S603" s="545"/>
      <c r="W603" s="545"/>
      <c r="X603" s="545"/>
      <c r="Y603" s="545"/>
      <c r="Z603" s="545"/>
      <c r="AA603" s="545"/>
      <c r="AB603" s="545"/>
      <c r="AC603" s="545"/>
    </row>
    <row r="604" spans="1:29" ht="12.75" customHeight="1">
      <c r="A604" s="545"/>
      <c r="B604" s="545"/>
      <c r="C604" s="545"/>
      <c r="D604" s="545"/>
      <c r="E604" s="545"/>
      <c r="F604" s="545"/>
      <c r="H604" s="545"/>
      <c r="I604" s="545"/>
      <c r="J604" s="545"/>
      <c r="K604" s="545"/>
      <c r="L604" s="545"/>
      <c r="M604" s="545"/>
      <c r="N604" s="545"/>
      <c r="O604" s="545"/>
      <c r="P604" s="545"/>
      <c r="Q604" s="545"/>
      <c r="R604" s="545"/>
      <c r="S604" s="545"/>
      <c r="W604" s="545"/>
      <c r="X604" s="545"/>
      <c r="Y604" s="545"/>
      <c r="Z604" s="545"/>
      <c r="AA604" s="545"/>
      <c r="AB604" s="545"/>
      <c r="AC604" s="545"/>
    </row>
    <row r="605" spans="1:29" ht="12.75" customHeight="1">
      <c r="A605" s="545"/>
      <c r="B605" s="545"/>
      <c r="C605" s="545"/>
      <c r="D605" s="545"/>
      <c r="E605" s="545"/>
      <c r="F605" s="545"/>
      <c r="H605" s="545"/>
      <c r="I605" s="545"/>
      <c r="J605" s="545"/>
      <c r="K605" s="545"/>
      <c r="L605" s="545"/>
      <c r="M605" s="545"/>
      <c r="N605" s="545"/>
      <c r="O605" s="545"/>
      <c r="P605" s="545"/>
      <c r="Q605" s="545"/>
      <c r="R605" s="545"/>
      <c r="S605" s="545"/>
      <c r="W605" s="545"/>
      <c r="X605" s="545"/>
      <c r="Y605" s="545"/>
      <c r="Z605" s="545"/>
      <c r="AA605" s="545"/>
      <c r="AB605" s="545"/>
      <c r="AC605" s="545"/>
    </row>
    <row r="606" spans="1:29" ht="12.75" customHeight="1">
      <c r="A606" s="545"/>
      <c r="B606" s="545"/>
      <c r="C606" s="545"/>
      <c r="D606" s="545"/>
      <c r="E606" s="545"/>
      <c r="F606" s="545"/>
      <c r="H606" s="545"/>
      <c r="I606" s="545"/>
      <c r="J606" s="545"/>
      <c r="K606" s="545"/>
      <c r="L606" s="545"/>
      <c r="M606" s="545"/>
      <c r="N606" s="545"/>
      <c r="O606" s="545"/>
      <c r="P606" s="545"/>
      <c r="Q606" s="545"/>
      <c r="R606" s="545"/>
      <c r="S606" s="545"/>
      <c r="W606" s="545"/>
      <c r="X606" s="545"/>
      <c r="Y606" s="545"/>
      <c r="Z606" s="545"/>
      <c r="AA606" s="545"/>
      <c r="AB606" s="545"/>
      <c r="AC606" s="545"/>
    </row>
    <row r="607" spans="1:29" ht="12.75" customHeight="1">
      <c r="A607" s="545"/>
      <c r="B607" s="545"/>
      <c r="C607" s="545"/>
      <c r="D607" s="545"/>
      <c r="E607" s="545"/>
      <c r="F607" s="545"/>
      <c r="H607" s="545"/>
      <c r="I607" s="545"/>
      <c r="J607" s="545"/>
      <c r="K607" s="545"/>
      <c r="L607" s="545"/>
      <c r="M607" s="545"/>
      <c r="N607" s="545"/>
      <c r="O607" s="545"/>
      <c r="P607" s="545"/>
      <c r="Q607" s="545"/>
      <c r="R607" s="545"/>
      <c r="S607" s="545"/>
      <c r="W607" s="545"/>
      <c r="X607" s="545"/>
      <c r="Y607" s="545"/>
      <c r="Z607" s="545"/>
      <c r="AA607" s="545"/>
      <c r="AB607" s="545"/>
      <c r="AC607" s="545"/>
    </row>
    <row r="608" spans="1:29" ht="12.75" customHeight="1">
      <c r="A608" s="545"/>
      <c r="B608" s="545"/>
      <c r="C608" s="545"/>
      <c r="D608" s="545"/>
      <c r="E608" s="545"/>
      <c r="F608" s="545"/>
      <c r="H608" s="545"/>
      <c r="I608" s="545"/>
      <c r="J608" s="545"/>
      <c r="K608" s="545"/>
      <c r="L608" s="545"/>
      <c r="M608" s="545"/>
      <c r="N608" s="545"/>
      <c r="O608" s="545"/>
      <c r="P608" s="545"/>
      <c r="Q608" s="545"/>
      <c r="R608" s="545"/>
      <c r="S608" s="545"/>
      <c r="W608" s="545"/>
      <c r="X608" s="545"/>
      <c r="Y608" s="545"/>
      <c r="Z608" s="545"/>
      <c r="AA608" s="545"/>
      <c r="AB608" s="545"/>
      <c r="AC608" s="545"/>
    </row>
    <row r="609" spans="1:29" ht="12.75" customHeight="1">
      <c r="A609" s="545"/>
      <c r="B609" s="545"/>
      <c r="C609" s="545"/>
      <c r="D609" s="545"/>
      <c r="E609" s="545"/>
      <c r="F609" s="545"/>
      <c r="H609" s="545"/>
      <c r="I609" s="545"/>
      <c r="J609" s="545"/>
      <c r="K609" s="545"/>
      <c r="L609" s="545"/>
      <c r="M609" s="545"/>
      <c r="N609" s="545"/>
      <c r="O609" s="545"/>
      <c r="P609" s="545"/>
      <c r="Q609" s="545"/>
      <c r="R609" s="545"/>
      <c r="S609" s="545"/>
      <c r="W609" s="545"/>
      <c r="X609" s="545"/>
      <c r="Y609" s="545"/>
      <c r="Z609" s="545"/>
      <c r="AA609" s="545"/>
      <c r="AB609" s="545"/>
      <c r="AC609" s="545"/>
    </row>
    <row r="610" spans="1:29" ht="12.75" customHeight="1">
      <c r="A610" s="545"/>
      <c r="B610" s="545"/>
      <c r="C610" s="545"/>
      <c r="D610" s="545"/>
      <c r="E610" s="545"/>
      <c r="F610" s="545"/>
      <c r="H610" s="545"/>
      <c r="I610" s="545"/>
      <c r="J610" s="545"/>
      <c r="K610" s="545"/>
      <c r="L610" s="545"/>
      <c r="M610" s="545"/>
      <c r="N610" s="545"/>
      <c r="O610" s="545"/>
      <c r="P610" s="545"/>
      <c r="Q610" s="545"/>
      <c r="R610" s="545"/>
      <c r="S610" s="545"/>
      <c r="W610" s="545"/>
      <c r="X610" s="545"/>
      <c r="Y610" s="545"/>
      <c r="Z610" s="545"/>
      <c r="AA610" s="545"/>
      <c r="AB610" s="545"/>
      <c r="AC610" s="545"/>
    </row>
    <row r="611" spans="1:29" ht="12.75" customHeight="1">
      <c r="A611" s="545"/>
      <c r="B611" s="545"/>
      <c r="C611" s="545"/>
      <c r="D611" s="545"/>
      <c r="E611" s="545"/>
      <c r="F611" s="545"/>
      <c r="H611" s="545"/>
      <c r="I611" s="545"/>
      <c r="J611" s="545"/>
      <c r="K611" s="545"/>
      <c r="L611" s="545"/>
      <c r="M611" s="545"/>
      <c r="N611" s="545"/>
      <c r="O611" s="545"/>
      <c r="P611" s="545"/>
      <c r="Q611" s="545"/>
      <c r="R611" s="545"/>
      <c r="S611" s="545"/>
      <c r="W611" s="545"/>
      <c r="X611" s="545"/>
      <c r="Y611" s="545"/>
      <c r="Z611" s="545"/>
      <c r="AA611" s="545"/>
      <c r="AB611" s="545"/>
      <c r="AC611" s="545"/>
    </row>
    <row r="612" spans="1:29" ht="12.75" customHeight="1">
      <c r="A612" s="545"/>
      <c r="B612" s="545"/>
      <c r="C612" s="545"/>
      <c r="D612" s="545"/>
      <c r="E612" s="545"/>
      <c r="F612" s="545"/>
      <c r="H612" s="545"/>
      <c r="I612" s="545"/>
      <c r="J612" s="545"/>
      <c r="K612" s="545"/>
      <c r="L612" s="545"/>
      <c r="M612" s="545"/>
      <c r="N612" s="545"/>
      <c r="O612" s="545"/>
      <c r="P612" s="545"/>
      <c r="Q612" s="545"/>
      <c r="R612" s="545"/>
      <c r="S612" s="545"/>
      <c r="W612" s="545"/>
      <c r="X612" s="545"/>
      <c r="Y612" s="545"/>
      <c r="Z612" s="545"/>
      <c r="AA612" s="545"/>
      <c r="AB612" s="545"/>
      <c r="AC612" s="545"/>
    </row>
    <row r="613" spans="1:29" ht="12.75" customHeight="1">
      <c r="A613" s="545"/>
      <c r="B613" s="545"/>
      <c r="C613" s="545"/>
      <c r="D613" s="545"/>
      <c r="E613" s="545"/>
      <c r="F613" s="545"/>
      <c r="H613" s="545"/>
      <c r="I613" s="545"/>
      <c r="J613" s="545"/>
      <c r="K613" s="545"/>
      <c r="L613" s="545"/>
      <c r="M613" s="545"/>
      <c r="N613" s="545"/>
      <c r="O613" s="545"/>
      <c r="P613" s="545"/>
      <c r="Q613" s="545"/>
      <c r="R613" s="545"/>
      <c r="S613" s="545"/>
      <c r="W613" s="545"/>
      <c r="X613" s="545"/>
      <c r="Y613" s="545"/>
      <c r="Z613" s="545"/>
      <c r="AA613" s="545"/>
      <c r="AB613" s="545"/>
      <c r="AC613" s="545"/>
    </row>
    <row r="614" spans="1:29" ht="12.75" customHeight="1">
      <c r="A614" s="545"/>
      <c r="B614" s="545"/>
      <c r="C614" s="545"/>
      <c r="D614" s="545"/>
      <c r="E614" s="545"/>
      <c r="F614" s="545"/>
      <c r="H614" s="545"/>
      <c r="I614" s="545"/>
      <c r="J614" s="545"/>
      <c r="K614" s="545"/>
      <c r="L614" s="545"/>
      <c r="M614" s="545"/>
      <c r="N614" s="545"/>
      <c r="O614" s="545"/>
      <c r="P614" s="545"/>
      <c r="Q614" s="545"/>
      <c r="R614" s="545"/>
      <c r="S614" s="545"/>
      <c r="W614" s="545"/>
      <c r="X614" s="545"/>
      <c r="Y614" s="545"/>
      <c r="Z614" s="545"/>
      <c r="AA614" s="545"/>
      <c r="AB614" s="545"/>
      <c r="AC614" s="545"/>
    </row>
    <row r="615" spans="1:29" ht="12.75" customHeight="1">
      <c r="A615" s="545"/>
      <c r="B615" s="545"/>
      <c r="C615" s="545"/>
      <c r="D615" s="545"/>
      <c r="E615" s="545"/>
      <c r="F615" s="545"/>
      <c r="H615" s="545"/>
      <c r="I615" s="545"/>
      <c r="J615" s="545"/>
      <c r="K615" s="545"/>
      <c r="L615" s="545"/>
      <c r="M615" s="545"/>
      <c r="N615" s="545"/>
      <c r="O615" s="545"/>
      <c r="P615" s="545"/>
      <c r="Q615" s="545"/>
      <c r="R615" s="545"/>
      <c r="S615" s="545"/>
      <c r="W615" s="545"/>
      <c r="X615" s="545"/>
      <c r="Y615" s="545"/>
      <c r="Z615" s="545"/>
      <c r="AA615" s="545"/>
      <c r="AB615" s="545"/>
      <c r="AC615" s="545"/>
    </row>
    <row r="616" spans="1:29" ht="12.75" customHeight="1">
      <c r="A616" s="545"/>
      <c r="B616" s="545"/>
      <c r="C616" s="545"/>
      <c r="D616" s="545"/>
      <c r="E616" s="545"/>
      <c r="F616" s="545"/>
      <c r="H616" s="545"/>
      <c r="I616" s="545"/>
      <c r="J616" s="545"/>
      <c r="K616" s="545"/>
      <c r="L616" s="545"/>
      <c r="M616" s="545"/>
      <c r="N616" s="545"/>
      <c r="O616" s="545"/>
      <c r="P616" s="545"/>
      <c r="Q616" s="545"/>
      <c r="R616" s="545"/>
      <c r="S616" s="545"/>
      <c r="W616" s="545"/>
      <c r="X616" s="545"/>
      <c r="Y616" s="545"/>
      <c r="Z616" s="545"/>
      <c r="AA616" s="545"/>
      <c r="AB616" s="545"/>
      <c r="AC616" s="545"/>
    </row>
    <row r="617" spans="1:29" ht="12.75" customHeight="1">
      <c r="A617" s="545"/>
      <c r="B617" s="545"/>
      <c r="C617" s="545"/>
      <c r="D617" s="545"/>
      <c r="E617" s="545"/>
      <c r="F617" s="545"/>
      <c r="H617" s="545"/>
      <c r="I617" s="545"/>
      <c r="J617" s="545"/>
      <c r="K617" s="545"/>
      <c r="L617" s="545"/>
      <c r="M617" s="545"/>
      <c r="N617" s="545"/>
      <c r="O617" s="545"/>
      <c r="P617" s="545"/>
      <c r="Q617" s="545"/>
      <c r="R617" s="545"/>
      <c r="S617" s="545"/>
      <c r="W617" s="545"/>
      <c r="X617" s="545"/>
      <c r="Y617" s="545"/>
      <c r="Z617" s="545"/>
      <c r="AA617" s="545"/>
      <c r="AB617" s="545"/>
      <c r="AC617" s="545"/>
    </row>
    <row r="618" spans="1:29" ht="12.75" customHeight="1">
      <c r="A618" s="545"/>
      <c r="B618" s="545"/>
      <c r="C618" s="545"/>
      <c r="D618" s="545"/>
      <c r="E618" s="545"/>
      <c r="F618" s="545"/>
      <c r="H618" s="545"/>
      <c r="I618" s="545"/>
      <c r="J618" s="545"/>
      <c r="K618" s="545"/>
      <c r="L618" s="545"/>
      <c r="M618" s="545"/>
      <c r="N618" s="545"/>
      <c r="O618" s="545"/>
      <c r="P618" s="545"/>
      <c r="Q618" s="545"/>
      <c r="R618" s="545"/>
      <c r="S618" s="545"/>
      <c r="W618" s="545"/>
      <c r="X618" s="545"/>
      <c r="Y618" s="545"/>
      <c r="Z618" s="545"/>
      <c r="AA618" s="545"/>
      <c r="AB618" s="545"/>
      <c r="AC618" s="545"/>
    </row>
    <row r="619" spans="1:29" ht="12.75" customHeight="1">
      <c r="A619" s="545"/>
      <c r="B619" s="545"/>
      <c r="C619" s="545"/>
      <c r="D619" s="545"/>
      <c r="E619" s="545"/>
      <c r="F619" s="545"/>
      <c r="H619" s="545"/>
      <c r="I619" s="545"/>
      <c r="J619" s="545"/>
      <c r="K619" s="545"/>
      <c r="L619" s="545"/>
      <c r="M619" s="545"/>
      <c r="N619" s="545"/>
      <c r="O619" s="545"/>
      <c r="P619" s="545"/>
      <c r="Q619" s="545"/>
      <c r="R619" s="545"/>
      <c r="S619" s="545"/>
      <c r="W619" s="545"/>
      <c r="X619" s="545"/>
      <c r="Y619" s="545"/>
      <c r="Z619" s="545"/>
      <c r="AA619" s="545"/>
      <c r="AB619" s="545"/>
      <c r="AC619" s="545"/>
    </row>
    <row r="620" spans="1:29" ht="12.75" customHeight="1">
      <c r="A620" s="545"/>
      <c r="B620" s="545"/>
      <c r="C620" s="545"/>
      <c r="D620" s="545"/>
      <c r="E620" s="545"/>
      <c r="F620" s="545"/>
      <c r="H620" s="545"/>
      <c r="I620" s="545"/>
      <c r="J620" s="545"/>
      <c r="K620" s="545"/>
      <c r="L620" s="545"/>
      <c r="M620" s="545"/>
      <c r="N620" s="545"/>
      <c r="O620" s="545"/>
      <c r="P620" s="545"/>
      <c r="Q620" s="545"/>
      <c r="R620" s="545"/>
      <c r="S620" s="545"/>
      <c r="W620" s="545"/>
      <c r="X620" s="545"/>
      <c r="Y620" s="545"/>
      <c r="Z620" s="545"/>
      <c r="AA620" s="545"/>
      <c r="AB620" s="545"/>
      <c r="AC620" s="545"/>
    </row>
    <row r="621" spans="1:29" ht="12.75" customHeight="1">
      <c r="A621" s="545"/>
      <c r="B621" s="545"/>
      <c r="C621" s="545"/>
      <c r="D621" s="545"/>
      <c r="E621" s="545"/>
      <c r="F621" s="545"/>
      <c r="H621" s="545"/>
      <c r="I621" s="545"/>
      <c r="J621" s="545"/>
      <c r="K621" s="545"/>
      <c r="L621" s="545"/>
      <c r="M621" s="545"/>
      <c r="N621" s="545"/>
      <c r="O621" s="545"/>
      <c r="P621" s="545"/>
      <c r="Q621" s="545"/>
      <c r="R621" s="545"/>
      <c r="S621" s="545"/>
      <c r="W621" s="545"/>
      <c r="X621" s="545"/>
      <c r="Y621" s="545"/>
      <c r="Z621" s="545"/>
      <c r="AA621" s="545"/>
      <c r="AB621" s="545"/>
      <c r="AC621" s="545"/>
    </row>
    <row r="622" spans="1:29" ht="12.75" customHeight="1">
      <c r="A622" s="545"/>
      <c r="B622" s="545"/>
      <c r="C622" s="545"/>
      <c r="D622" s="545"/>
      <c r="E622" s="545"/>
      <c r="F622" s="545"/>
      <c r="H622" s="545"/>
      <c r="I622" s="545"/>
      <c r="J622" s="545"/>
      <c r="K622" s="545"/>
      <c r="L622" s="545"/>
      <c r="M622" s="545"/>
      <c r="N622" s="545"/>
      <c r="O622" s="545"/>
      <c r="P622" s="545"/>
      <c r="Q622" s="545"/>
      <c r="R622" s="545"/>
      <c r="S622" s="545"/>
      <c r="W622" s="545"/>
      <c r="X622" s="545"/>
      <c r="Y622" s="545"/>
      <c r="Z622" s="545"/>
      <c r="AA622" s="545"/>
      <c r="AB622" s="545"/>
      <c r="AC622" s="545"/>
    </row>
    <row r="623" spans="1:29" ht="12.75" customHeight="1">
      <c r="A623" s="545"/>
      <c r="B623" s="545"/>
      <c r="C623" s="545"/>
      <c r="D623" s="545"/>
      <c r="E623" s="545"/>
      <c r="F623" s="545"/>
      <c r="H623" s="545"/>
      <c r="I623" s="545"/>
      <c r="J623" s="545"/>
      <c r="K623" s="545"/>
      <c r="L623" s="545"/>
      <c r="M623" s="545"/>
      <c r="N623" s="545"/>
      <c r="O623" s="545"/>
      <c r="P623" s="545"/>
      <c r="Q623" s="545"/>
      <c r="R623" s="545"/>
      <c r="S623" s="545"/>
      <c r="W623" s="545"/>
      <c r="X623" s="545"/>
      <c r="Y623" s="545"/>
      <c r="Z623" s="545"/>
      <c r="AA623" s="545"/>
      <c r="AB623" s="545"/>
      <c r="AC623" s="545"/>
    </row>
    <row r="624" spans="1:29" ht="12.75" customHeight="1">
      <c r="A624" s="545"/>
      <c r="B624" s="545"/>
      <c r="C624" s="545"/>
      <c r="D624" s="545"/>
      <c r="E624" s="545"/>
      <c r="F624" s="545"/>
      <c r="H624" s="545"/>
      <c r="I624" s="545"/>
      <c r="J624" s="545"/>
      <c r="K624" s="545"/>
      <c r="L624" s="545"/>
      <c r="M624" s="545"/>
      <c r="N624" s="545"/>
      <c r="O624" s="545"/>
      <c r="P624" s="545"/>
      <c r="Q624" s="545"/>
      <c r="R624" s="545"/>
      <c r="S624" s="545"/>
      <c r="W624" s="545"/>
      <c r="X624" s="545"/>
      <c r="Y624" s="545"/>
      <c r="Z624" s="545"/>
      <c r="AA624" s="545"/>
      <c r="AB624" s="545"/>
      <c r="AC624" s="545"/>
    </row>
    <row r="625" spans="1:29" ht="12.75" customHeight="1">
      <c r="A625" s="545"/>
      <c r="B625" s="545"/>
      <c r="C625" s="545"/>
      <c r="D625" s="545"/>
      <c r="E625" s="545"/>
      <c r="F625" s="545"/>
      <c r="H625" s="545"/>
      <c r="I625" s="545"/>
      <c r="J625" s="545"/>
      <c r="K625" s="545"/>
      <c r="L625" s="545"/>
      <c r="M625" s="545"/>
      <c r="N625" s="545"/>
      <c r="O625" s="545"/>
      <c r="P625" s="545"/>
      <c r="Q625" s="545"/>
      <c r="R625" s="545"/>
      <c r="S625" s="545"/>
      <c r="W625" s="545"/>
      <c r="X625" s="545"/>
      <c r="Y625" s="545"/>
      <c r="Z625" s="545"/>
      <c r="AA625" s="545"/>
      <c r="AB625" s="545"/>
      <c r="AC625" s="545"/>
    </row>
    <row r="626" spans="1:29" ht="12.75" customHeight="1">
      <c r="A626" s="545"/>
      <c r="B626" s="545"/>
      <c r="C626" s="545"/>
      <c r="D626" s="545"/>
      <c r="E626" s="545"/>
      <c r="F626" s="545"/>
      <c r="H626" s="545"/>
      <c r="I626" s="545"/>
      <c r="J626" s="545"/>
      <c r="K626" s="545"/>
      <c r="L626" s="545"/>
      <c r="M626" s="545"/>
      <c r="N626" s="545"/>
      <c r="O626" s="545"/>
      <c r="P626" s="545"/>
      <c r="Q626" s="545"/>
      <c r="R626" s="545"/>
      <c r="S626" s="545"/>
      <c r="W626" s="545"/>
      <c r="X626" s="545"/>
      <c r="Y626" s="545"/>
      <c r="Z626" s="545"/>
      <c r="AA626" s="545"/>
      <c r="AB626" s="545"/>
      <c r="AC626" s="545"/>
    </row>
    <row r="627" spans="1:29" ht="12.75" customHeight="1">
      <c r="A627" s="545"/>
      <c r="B627" s="545"/>
      <c r="C627" s="545"/>
      <c r="D627" s="545"/>
      <c r="E627" s="545"/>
      <c r="F627" s="545"/>
      <c r="H627" s="545"/>
      <c r="I627" s="545"/>
      <c r="J627" s="545"/>
      <c r="K627" s="545"/>
      <c r="L627" s="545"/>
      <c r="M627" s="545"/>
      <c r="N627" s="545"/>
      <c r="O627" s="545"/>
      <c r="P627" s="545"/>
      <c r="Q627" s="545"/>
      <c r="R627" s="545"/>
      <c r="S627" s="545"/>
      <c r="W627" s="545"/>
      <c r="X627" s="545"/>
      <c r="Y627" s="545"/>
      <c r="Z627" s="545"/>
      <c r="AA627" s="545"/>
      <c r="AB627" s="545"/>
      <c r="AC627" s="545"/>
    </row>
    <row r="628" spans="1:29" ht="12.75" customHeight="1">
      <c r="A628" s="545"/>
      <c r="B628" s="545"/>
      <c r="C628" s="545"/>
      <c r="D628" s="545"/>
      <c r="E628" s="545"/>
      <c r="F628" s="545"/>
      <c r="H628" s="545"/>
      <c r="I628" s="545"/>
      <c r="J628" s="545"/>
      <c r="K628" s="545"/>
      <c r="L628" s="545"/>
      <c r="M628" s="545"/>
      <c r="N628" s="545"/>
      <c r="O628" s="545"/>
      <c r="P628" s="545"/>
      <c r="Q628" s="545"/>
      <c r="R628" s="545"/>
      <c r="S628" s="545"/>
      <c r="W628" s="545"/>
      <c r="X628" s="545"/>
      <c r="Y628" s="545"/>
      <c r="Z628" s="545"/>
      <c r="AA628" s="545"/>
      <c r="AB628" s="545"/>
      <c r="AC628" s="545"/>
    </row>
    <row r="629" spans="1:29" ht="12.75" customHeight="1">
      <c r="A629" s="545"/>
      <c r="B629" s="545"/>
      <c r="C629" s="545"/>
      <c r="D629" s="545"/>
      <c r="E629" s="545"/>
      <c r="F629" s="545"/>
      <c r="H629" s="545"/>
      <c r="I629" s="545"/>
      <c r="J629" s="545"/>
      <c r="K629" s="545"/>
      <c r="L629" s="545"/>
      <c r="M629" s="545"/>
      <c r="N629" s="545"/>
      <c r="O629" s="545"/>
      <c r="P629" s="545"/>
      <c r="Q629" s="545"/>
      <c r="R629" s="545"/>
      <c r="S629" s="545"/>
      <c r="W629" s="545"/>
      <c r="X629" s="545"/>
      <c r="Y629" s="545"/>
      <c r="Z629" s="545"/>
      <c r="AA629" s="545"/>
      <c r="AB629" s="545"/>
      <c r="AC629" s="545"/>
    </row>
    <row r="630" spans="1:29" ht="12.75" customHeight="1">
      <c r="A630" s="545"/>
      <c r="B630" s="545"/>
      <c r="C630" s="545"/>
      <c r="D630" s="545"/>
      <c r="E630" s="545"/>
      <c r="F630" s="545"/>
      <c r="H630" s="545"/>
      <c r="I630" s="545"/>
      <c r="J630" s="545"/>
      <c r="K630" s="545"/>
      <c r="L630" s="545"/>
      <c r="M630" s="545"/>
      <c r="N630" s="545"/>
      <c r="O630" s="545"/>
      <c r="P630" s="545"/>
      <c r="Q630" s="545"/>
      <c r="R630" s="545"/>
      <c r="S630" s="545"/>
      <c r="W630" s="545"/>
      <c r="X630" s="545"/>
      <c r="Y630" s="545"/>
      <c r="Z630" s="545"/>
      <c r="AA630" s="545"/>
      <c r="AB630" s="545"/>
      <c r="AC630" s="545"/>
    </row>
    <row r="631" spans="1:29" ht="12.75" customHeight="1">
      <c r="A631" s="545"/>
      <c r="B631" s="545"/>
      <c r="C631" s="545"/>
      <c r="D631" s="545"/>
      <c r="E631" s="545"/>
      <c r="F631" s="545"/>
      <c r="H631" s="545"/>
      <c r="I631" s="545"/>
      <c r="J631" s="545"/>
      <c r="K631" s="545"/>
      <c r="L631" s="545"/>
      <c r="M631" s="545"/>
      <c r="N631" s="545"/>
      <c r="O631" s="545"/>
      <c r="P631" s="545"/>
      <c r="Q631" s="545"/>
      <c r="R631" s="545"/>
      <c r="S631" s="545"/>
      <c r="W631" s="545"/>
      <c r="X631" s="545"/>
      <c r="Y631" s="545"/>
      <c r="Z631" s="545"/>
      <c r="AA631" s="545"/>
      <c r="AB631" s="545"/>
      <c r="AC631" s="545"/>
    </row>
    <row r="632" spans="1:29" ht="12.75" customHeight="1">
      <c r="A632" s="545"/>
      <c r="B632" s="545"/>
      <c r="C632" s="545"/>
      <c r="D632" s="545"/>
      <c r="E632" s="545"/>
      <c r="F632" s="545"/>
      <c r="H632" s="545"/>
      <c r="I632" s="545"/>
      <c r="J632" s="545"/>
      <c r="K632" s="545"/>
      <c r="L632" s="545"/>
      <c r="M632" s="545"/>
      <c r="N632" s="545"/>
      <c r="O632" s="545"/>
      <c r="P632" s="545"/>
      <c r="Q632" s="545"/>
      <c r="R632" s="545"/>
      <c r="S632" s="545"/>
      <c r="W632" s="545"/>
      <c r="X632" s="545"/>
      <c r="Y632" s="545"/>
      <c r="Z632" s="545"/>
      <c r="AA632" s="545"/>
      <c r="AB632" s="545"/>
      <c r="AC632" s="545"/>
    </row>
    <row r="633" spans="1:29" ht="12.75" customHeight="1">
      <c r="A633" s="545"/>
      <c r="B633" s="545"/>
      <c r="C633" s="545"/>
      <c r="D633" s="545"/>
      <c r="E633" s="545"/>
      <c r="F633" s="545"/>
      <c r="H633" s="545"/>
      <c r="I633" s="545"/>
      <c r="J633" s="545"/>
      <c r="K633" s="545"/>
      <c r="L633" s="545"/>
      <c r="M633" s="545"/>
      <c r="N633" s="545"/>
      <c r="O633" s="545"/>
      <c r="P633" s="545"/>
      <c r="Q633" s="545"/>
      <c r="R633" s="545"/>
      <c r="S633" s="545"/>
      <c r="W633" s="545"/>
      <c r="X633" s="545"/>
      <c r="Y633" s="545"/>
      <c r="Z633" s="545"/>
      <c r="AA633" s="545"/>
      <c r="AB633" s="545"/>
      <c r="AC633" s="545"/>
    </row>
    <row r="634" spans="1:29" ht="12.75" customHeight="1">
      <c r="A634" s="545"/>
      <c r="B634" s="545"/>
      <c r="C634" s="545"/>
      <c r="D634" s="545"/>
      <c r="E634" s="545"/>
      <c r="F634" s="545"/>
      <c r="H634" s="545"/>
      <c r="I634" s="545"/>
      <c r="J634" s="545"/>
      <c r="K634" s="545"/>
      <c r="L634" s="545"/>
      <c r="M634" s="545"/>
      <c r="N634" s="545"/>
      <c r="O634" s="545"/>
      <c r="P634" s="545"/>
      <c r="Q634" s="545"/>
      <c r="R634" s="545"/>
      <c r="S634" s="545"/>
      <c r="W634" s="545"/>
      <c r="X634" s="545"/>
      <c r="Y634" s="545"/>
      <c r="Z634" s="545"/>
      <c r="AA634" s="545"/>
      <c r="AB634" s="545"/>
      <c r="AC634" s="545"/>
    </row>
    <row r="635" spans="1:29" ht="12.75" customHeight="1">
      <c r="A635" s="545"/>
      <c r="B635" s="545"/>
      <c r="C635" s="545"/>
      <c r="D635" s="545"/>
      <c r="E635" s="545"/>
      <c r="F635" s="545"/>
      <c r="H635" s="545"/>
      <c r="I635" s="545"/>
      <c r="J635" s="545"/>
      <c r="K635" s="545"/>
      <c r="L635" s="545"/>
      <c r="M635" s="545"/>
      <c r="N635" s="545"/>
      <c r="O635" s="545"/>
      <c r="P635" s="545"/>
      <c r="Q635" s="545"/>
      <c r="R635" s="545"/>
      <c r="S635" s="545"/>
      <c r="W635" s="545"/>
      <c r="X635" s="545"/>
      <c r="Y635" s="545"/>
      <c r="Z635" s="545"/>
      <c r="AA635" s="545"/>
      <c r="AB635" s="545"/>
      <c r="AC635" s="545"/>
    </row>
    <row r="636" spans="1:29" ht="12.75" customHeight="1">
      <c r="A636" s="545"/>
      <c r="B636" s="545"/>
      <c r="C636" s="545"/>
      <c r="D636" s="545"/>
      <c r="E636" s="545"/>
      <c r="F636" s="545"/>
      <c r="H636" s="545"/>
      <c r="I636" s="545"/>
      <c r="J636" s="545"/>
      <c r="K636" s="545"/>
      <c r="L636" s="545"/>
      <c r="M636" s="545"/>
      <c r="N636" s="545"/>
      <c r="O636" s="545"/>
      <c r="P636" s="545"/>
      <c r="Q636" s="545"/>
      <c r="R636" s="545"/>
      <c r="S636" s="545"/>
      <c r="W636" s="545"/>
      <c r="X636" s="545"/>
      <c r="Y636" s="545"/>
      <c r="Z636" s="545"/>
      <c r="AA636" s="545"/>
      <c r="AB636" s="545"/>
      <c r="AC636" s="545"/>
    </row>
    <row r="637" spans="1:29" ht="12.75" customHeight="1">
      <c r="A637" s="545"/>
      <c r="B637" s="545"/>
      <c r="C637" s="545"/>
      <c r="D637" s="545"/>
      <c r="E637" s="545"/>
      <c r="F637" s="545"/>
      <c r="H637" s="545"/>
      <c r="I637" s="545"/>
      <c r="J637" s="545"/>
      <c r="K637" s="545"/>
      <c r="L637" s="545"/>
      <c r="M637" s="545"/>
      <c r="N637" s="545"/>
      <c r="O637" s="545"/>
      <c r="P637" s="545"/>
      <c r="Q637" s="545"/>
      <c r="R637" s="545"/>
      <c r="S637" s="545"/>
      <c r="W637" s="545"/>
      <c r="X637" s="545"/>
      <c r="Y637" s="545"/>
      <c r="Z637" s="545"/>
      <c r="AA637" s="545"/>
      <c r="AB637" s="545"/>
      <c r="AC637" s="545"/>
    </row>
    <row r="638" spans="1:29" ht="12.75" customHeight="1">
      <c r="A638" s="545"/>
      <c r="B638" s="545"/>
      <c r="C638" s="545"/>
      <c r="D638" s="545"/>
      <c r="E638" s="545"/>
      <c r="F638" s="545"/>
      <c r="H638" s="545"/>
      <c r="I638" s="545"/>
      <c r="J638" s="545"/>
      <c r="K638" s="545"/>
      <c r="L638" s="545"/>
      <c r="M638" s="545"/>
      <c r="N638" s="545"/>
      <c r="O638" s="545"/>
      <c r="P638" s="545"/>
      <c r="Q638" s="545"/>
      <c r="R638" s="545"/>
      <c r="S638" s="545"/>
      <c r="W638" s="545"/>
      <c r="X638" s="545"/>
      <c r="Y638" s="545"/>
      <c r="Z638" s="545"/>
      <c r="AA638" s="545"/>
      <c r="AB638" s="545"/>
      <c r="AC638" s="545"/>
    </row>
    <row r="639" spans="1:29" ht="12.75" customHeight="1">
      <c r="A639" s="545"/>
      <c r="B639" s="545"/>
      <c r="C639" s="545"/>
      <c r="D639" s="545"/>
      <c r="E639" s="545"/>
      <c r="F639" s="545"/>
      <c r="H639" s="545"/>
      <c r="I639" s="545"/>
      <c r="J639" s="545"/>
      <c r="K639" s="545"/>
      <c r="L639" s="545"/>
      <c r="M639" s="545"/>
      <c r="N639" s="545"/>
      <c r="O639" s="545"/>
      <c r="P639" s="545"/>
      <c r="Q639" s="545"/>
      <c r="R639" s="545"/>
      <c r="S639" s="545"/>
      <c r="W639" s="545"/>
      <c r="X639" s="545"/>
      <c r="Y639" s="545"/>
      <c r="Z639" s="545"/>
      <c r="AA639" s="545"/>
      <c r="AB639" s="545"/>
      <c r="AC639" s="545"/>
    </row>
    <row r="640" spans="1:29" ht="12.75" customHeight="1">
      <c r="A640" s="545"/>
      <c r="B640" s="545"/>
      <c r="C640" s="545"/>
      <c r="D640" s="545"/>
      <c r="E640" s="545"/>
      <c r="F640" s="545"/>
      <c r="H640" s="545"/>
      <c r="I640" s="545"/>
      <c r="J640" s="545"/>
      <c r="K640" s="545"/>
      <c r="L640" s="545"/>
      <c r="M640" s="545"/>
      <c r="N640" s="545"/>
      <c r="O640" s="545"/>
      <c r="P640" s="545"/>
      <c r="Q640" s="545"/>
      <c r="R640" s="545"/>
      <c r="S640" s="545"/>
      <c r="W640" s="545"/>
      <c r="X640" s="545"/>
      <c r="Y640" s="545"/>
      <c r="Z640" s="545"/>
      <c r="AA640" s="545"/>
      <c r="AB640" s="545"/>
      <c r="AC640" s="545"/>
    </row>
    <row r="641" spans="1:29" ht="12.75" customHeight="1">
      <c r="A641" s="545"/>
      <c r="B641" s="545"/>
      <c r="C641" s="545"/>
      <c r="D641" s="545"/>
      <c r="E641" s="545"/>
      <c r="F641" s="545"/>
      <c r="H641" s="545"/>
      <c r="I641" s="545"/>
      <c r="J641" s="545"/>
      <c r="K641" s="545"/>
      <c r="L641" s="545"/>
      <c r="M641" s="545"/>
      <c r="N641" s="545"/>
      <c r="O641" s="545"/>
      <c r="P641" s="545"/>
      <c r="Q641" s="545"/>
      <c r="R641" s="545"/>
      <c r="S641" s="545"/>
      <c r="W641" s="545"/>
      <c r="X641" s="545"/>
      <c r="Y641" s="545"/>
      <c r="Z641" s="545"/>
      <c r="AA641" s="545"/>
      <c r="AB641" s="545"/>
      <c r="AC641" s="545"/>
    </row>
    <row r="642" spans="1:29" ht="12.75" customHeight="1">
      <c r="A642" s="545"/>
      <c r="B642" s="545"/>
      <c r="C642" s="545"/>
      <c r="D642" s="545"/>
      <c r="E642" s="545"/>
      <c r="F642" s="545"/>
      <c r="H642" s="545"/>
      <c r="I642" s="545"/>
      <c r="J642" s="545"/>
      <c r="K642" s="545"/>
      <c r="L642" s="545"/>
      <c r="M642" s="545"/>
      <c r="N642" s="545"/>
      <c r="O642" s="545"/>
      <c r="P642" s="545"/>
      <c r="Q642" s="545"/>
      <c r="R642" s="545"/>
      <c r="S642" s="545"/>
      <c r="W642" s="545"/>
      <c r="X642" s="545"/>
      <c r="Y642" s="545"/>
      <c r="Z642" s="545"/>
      <c r="AA642" s="545"/>
      <c r="AB642" s="545"/>
      <c r="AC642" s="545"/>
    </row>
    <row r="643" spans="1:29" ht="12.75" customHeight="1">
      <c r="A643" s="545"/>
      <c r="B643" s="545"/>
      <c r="C643" s="545"/>
      <c r="D643" s="545"/>
      <c r="E643" s="545"/>
      <c r="F643" s="545"/>
      <c r="H643" s="545"/>
      <c r="I643" s="545"/>
      <c r="J643" s="545"/>
      <c r="K643" s="545"/>
      <c r="L643" s="545"/>
      <c r="M643" s="545"/>
      <c r="N643" s="545"/>
      <c r="O643" s="545"/>
      <c r="P643" s="545"/>
      <c r="Q643" s="545"/>
      <c r="R643" s="545"/>
      <c r="S643" s="545"/>
      <c r="W643" s="545"/>
      <c r="X643" s="545"/>
      <c r="Y643" s="545"/>
      <c r="Z643" s="545"/>
      <c r="AA643" s="545"/>
      <c r="AB643" s="545"/>
      <c r="AC643" s="545"/>
    </row>
    <row r="644" spans="1:29" ht="12.75" customHeight="1">
      <c r="A644" s="545"/>
      <c r="B644" s="545"/>
      <c r="C644" s="545"/>
      <c r="D644" s="545"/>
      <c r="E644" s="545"/>
      <c r="F644" s="545"/>
      <c r="H644" s="545"/>
      <c r="I644" s="545"/>
      <c r="J644" s="545"/>
      <c r="K644" s="545"/>
      <c r="L644" s="545"/>
      <c r="M644" s="545"/>
      <c r="N644" s="545"/>
      <c r="O644" s="545"/>
      <c r="P644" s="545"/>
      <c r="Q644" s="545"/>
      <c r="R644" s="545"/>
      <c r="S644" s="545"/>
      <c r="W644" s="545"/>
      <c r="X644" s="545"/>
      <c r="Y644" s="545"/>
      <c r="Z644" s="545"/>
      <c r="AA644" s="545"/>
      <c r="AB644" s="545"/>
      <c r="AC644" s="545"/>
    </row>
    <row r="645" spans="1:29" ht="12.75" customHeight="1">
      <c r="A645" s="545"/>
      <c r="B645" s="545"/>
      <c r="C645" s="545"/>
      <c r="D645" s="545"/>
      <c r="E645" s="545"/>
      <c r="F645" s="545"/>
      <c r="H645" s="545"/>
      <c r="I645" s="545"/>
      <c r="J645" s="545"/>
      <c r="K645" s="545"/>
      <c r="L645" s="545"/>
      <c r="M645" s="545"/>
      <c r="N645" s="545"/>
      <c r="O645" s="545"/>
      <c r="P645" s="545"/>
      <c r="Q645" s="545"/>
      <c r="R645" s="545"/>
      <c r="S645" s="545"/>
      <c r="W645" s="545"/>
      <c r="X645" s="545"/>
      <c r="Y645" s="545"/>
      <c r="Z645" s="545"/>
      <c r="AA645" s="545"/>
      <c r="AB645" s="545"/>
      <c r="AC645" s="545"/>
    </row>
    <row r="646" spans="1:29" ht="12.75" customHeight="1">
      <c r="A646" s="545"/>
      <c r="B646" s="545"/>
      <c r="C646" s="545"/>
      <c r="D646" s="545"/>
      <c r="E646" s="545"/>
      <c r="F646" s="545"/>
      <c r="H646" s="545"/>
      <c r="I646" s="545"/>
      <c r="J646" s="545"/>
      <c r="K646" s="545"/>
      <c r="L646" s="545"/>
      <c r="M646" s="545"/>
      <c r="N646" s="545"/>
      <c r="O646" s="545"/>
      <c r="P646" s="545"/>
      <c r="Q646" s="545"/>
      <c r="R646" s="545"/>
      <c r="S646" s="545"/>
      <c r="W646" s="545"/>
      <c r="X646" s="545"/>
      <c r="Y646" s="545"/>
      <c r="Z646" s="545"/>
      <c r="AA646" s="545"/>
      <c r="AB646" s="545"/>
      <c r="AC646" s="545"/>
    </row>
    <row r="647" spans="1:29" ht="12.75" customHeight="1">
      <c r="A647" s="545"/>
      <c r="B647" s="545"/>
      <c r="C647" s="545"/>
      <c r="D647" s="545"/>
      <c r="E647" s="545"/>
      <c r="F647" s="545"/>
      <c r="H647" s="545"/>
      <c r="I647" s="545"/>
      <c r="J647" s="545"/>
      <c r="K647" s="545"/>
      <c r="L647" s="545"/>
      <c r="M647" s="545"/>
      <c r="N647" s="545"/>
      <c r="O647" s="545"/>
      <c r="P647" s="545"/>
      <c r="Q647" s="545"/>
      <c r="R647" s="545"/>
      <c r="S647" s="545"/>
      <c r="W647" s="545"/>
      <c r="X647" s="545"/>
      <c r="Y647" s="545"/>
      <c r="Z647" s="545"/>
      <c r="AA647" s="545"/>
      <c r="AB647" s="545"/>
      <c r="AC647" s="545"/>
    </row>
    <row r="648" spans="1:29" ht="12.75" customHeight="1">
      <c r="A648" s="545"/>
      <c r="B648" s="545"/>
      <c r="C648" s="545"/>
      <c r="D648" s="545"/>
      <c r="E648" s="545"/>
      <c r="F648" s="545"/>
      <c r="H648" s="545"/>
      <c r="I648" s="545"/>
      <c r="J648" s="545"/>
      <c r="K648" s="545"/>
      <c r="L648" s="545"/>
      <c r="M648" s="545"/>
      <c r="N648" s="545"/>
      <c r="O648" s="545"/>
      <c r="P648" s="545"/>
      <c r="Q648" s="545"/>
      <c r="R648" s="545"/>
      <c r="S648" s="545"/>
      <c r="W648" s="545"/>
      <c r="X648" s="545"/>
      <c r="Y648" s="545"/>
      <c r="Z648" s="545"/>
      <c r="AA648" s="545"/>
      <c r="AB648" s="545"/>
      <c r="AC648" s="545"/>
    </row>
    <row r="649" spans="1:29" ht="12.75" customHeight="1">
      <c r="A649" s="545"/>
      <c r="B649" s="545"/>
      <c r="C649" s="545"/>
      <c r="D649" s="545"/>
      <c r="E649" s="545"/>
      <c r="F649" s="545"/>
      <c r="H649" s="545"/>
      <c r="I649" s="545"/>
      <c r="J649" s="545"/>
      <c r="K649" s="545"/>
      <c r="L649" s="545"/>
      <c r="M649" s="545"/>
      <c r="N649" s="545"/>
      <c r="O649" s="545"/>
      <c r="P649" s="545"/>
      <c r="Q649" s="545"/>
      <c r="R649" s="545"/>
      <c r="S649" s="545"/>
      <c r="W649" s="545"/>
      <c r="X649" s="545"/>
      <c r="Y649" s="545"/>
      <c r="Z649" s="545"/>
      <c r="AA649" s="545"/>
      <c r="AB649" s="545"/>
      <c r="AC649" s="545"/>
    </row>
    <row r="650" spans="1:29" ht="12.75" customHeight="1">
      <c r="A650" s="545"/>
      <c r="B650" s="545"/>
      <c r="C650" s="545"/>
      <c r="D650" s="545"/>
      <c r="E650" s="545"/>
      <c r="F650" s="545"/>
      <c r="H650" s="545"/>
      <c r="I650" s="545"/>
      <c r="J650" s="545"/>
      <c r="K650" s="545"/>
      <c r="L650" s="545"/>
      <c r="M650" s="545"/>
      <c r="N650" s="545"/>
      <c r="O650" s="545"/>
      <c r="P650" s="545"/>
      <c r="Q650" s="545"/>
      <c r="R650" s="545"/>
      <c r="S650" s="545"/>
      <c r="W650" s="545"/>
      <c r="X650" s="545"/>
      <c r="Y650" s="545"/>
      <c r="Z650" s="545"/>
      <c r="AA650" s="545"/>
      <c r="AB650" s="545"/>
      <c r="AC650" s="545"/>
    </row>
    <row r="651" spans="1:29" ht="12.75" customHeight="1">
      <c r="A651" s="545"/>
      <c r="B651" s="545"/>
      <c r="C651" s="545"/>
      <c r="D651" s="545"/>
      <c r="E651" s="545"/>
      <c r="F651" s="545"/>
      <c r="H651" s="545"/>
      <c r="I651" s="545"/>
      <c r="J651" s="545"/>
      <c r="K651" s="545"/>
      <c r="L651" s="545"/>
      <c r="M651" s="545"/>
      <c r="N651" s="545"/>
      <c r="O651" s="545"/>
      <c r="P651" s="545"/>
      <c r="Q651" s="545"/>
      <c r="R651" s="545"/>
      <c r="S651" s="545"/>
      <c r="W651" s="545"/>
      <c r="X651" s="545"/>
      <c r="Y651" s="545"/>
      <c r="Z651" s="545"/>
      <c r="AA651" s="545"/>
      <c r="AB651" s="545"/>
      <c r="AC651" s="545"/>
    </row>
    <row r="652" spans="1:29" ht="12.75" customHeight="1">
      <c r="A652" s="545"/>
      <c r="B652" s="545"/>
      <c r="C652" s="545"/>
      <c r="D652" s="545"/>
      <c r="E652" s="545"/>
      <c r="F652" s="545"/>
      <c r="H652" s="545"/>
      <c r="I652" s="545"/>
      <c r="J652" s="545"/>
      <c r="K652" s="545"/>
      <c r="L652" s="545"/>
      <c r="M652" s="545"/>
      <c r="N652" s="545"/>
      <c r="O652" s="545"/>
      <c r="P652" s="545"/>
      <c r="Q652" s="545"/>
      <c r="R652" s="545"/>
      <c r="S652" s="545"/>
      <c r="W652" s="545"/>
      <c r="X652" s="545"/>
      <c r="Y652" s="545"/>
      <c r="Z652" s="545"/>
      <c r="AA652" s="545"/>
      <c r="AB652" s="545"/>
      <c r="AC652" s="545"/>
    </row>
    <row r="653" spans="1:29" ht="12.75" customHeight="1">
      <c r="A653" s="545"/>
      <c r="B653" s="545"/>
      <c r="C653" s="545"/>
      <c r="D653" s="545"/>
      <c r="E653" s="545"/>
      <c r="F653" s="545"/>
      <c r="H653" s="545"/>
      <c r="I653" s="545"/>
      <c r="J653" s="545"/>
      <c r="K653" s="545"/>
      <c r="L653" s="545"/>
      <c r="M653" s="545"/>
      <c r="N653" s="545"/>
      <c r="O653" s="545"/>
      <c r="P653" s="545"/>
      <c r="Q653" s="545"/>
      <c r="R653" s="545"/>
      <c r="S653" s="545"/>
      <c r="W653" s="545"/>
      <c r="X653" s="545"/>
      <c r="Y653" s="545"/>
      <c r="Z653" s="545"/>
      <c r="AA653" s="545"/>
      <c r="AB653" s="545"/>
      <c r="AC653" s="545"/>
    </row>
    <row r="654" spans="1:29" ht="12.75" customHeight="1">
      <c r="A654" s="545"/>
      <c r="B654" s="545"/>
      <c r="C654" s="545"/>
      <c r="D654" s="545"/>
      <c r="E654" s="545"/>
      <c r="F654" s="545"/>
      <c r="H654" s="545"/>
      <c r="I654" s="545"/>
      <c r="J654" s="545"/>
      <c r="K654" s="545"/>
      <c r="L654" s="545"/>
      <c r="M654" s="545"/>
      <c r="N654" s="545"/>
      <c r="O654" s="545"/>
      <c r="P654" s="545"/>
      <c r="Q654" s="545"/>
      <c r="R654" s="545"/>
      <c r="S654" s="545"/>
      <c r="W654" s="545"/>
      <c r="X654" s="545"/>
      <c r="Y654" s="545"/>
      <c r="Z654" s="545"/>
      <c r="AA654" s="545"/>
      <c r="AB654" s="545"/>
      <c r="AC654" s="545"/>
    </row>
    <row r="655" spans="1:29" ht="12.75" customHeight="1">
      <c r="A655" s="545"/>
      <c r="B655" s="545"/>
      <c r="C655" s="545"/>
      <c r="D655" s="545"/>
      <c r="E655" s="545"/>
      <c r="F655" s="545"/>
      <c r="H655" s="545"/>
      <c r="I655" s="545"/>
      <c r="J655" s="545"/>
      <c r="K655" s="545"/>
      <c r="L655" s="545"/>
      <c r="M655" s="545"/>
      <c r="N655" s="545"/>
      <c r="O655" s="545"/>
      <c r="P655" s="545"/>
      <c r="Q655" s="545"/>
      <c r="R655" s="545"/>
      <c r="S655" s="545"/>
      <c r="W655" s="545"/>
      <c r="X655" s="545"/>
      <c r="Y655" s="545"/>
      <c r="Z655" s="545"/>
      <c r="AA655" s="545"/>
      <c r="AB655" s="545"/>
      <c r="AC655" s="545"/>
    </row>
    <row r="656" spans="1:29" ht="12.75" customHeight="1">
      <c r="A656" s="545"/>
      <c r="B656" s="545"/>
      <c r="C656" s="545"/>
      <c r="D656" s="545"/>
      <c r="E656" s="545"/>
      <c r="F656" s="545"/>
      <c r="H656" s="545"/>
      <c r="I656" s="545"/>
      <c r="J656" s="545"/>
      <c r="K656" s="545"/>
      <c r="L656" s="545"/>
      <c r="M656" s="545"/>
      <c r="N656" s="545"/>
      <c r="O656" s="545"/>
      <c r="P656" s="545"/>
      <c r="Q656" s="545"/>
      <c r="R656" s="545"/>
      <c r="S656" s="545"/>
      <c r="W656" s="545"/>
      <c r="X656" s="545"/>
      <c r="Y656" s="545"/>
      <c r="Z656" s="545"/>
      <c r="AA656" s="545"/>
      <c r="AB656" s="545"/>
      <c r="AC656" s="545"/>
    </row>
    <row r="657" spans="1:29" ht="12.75" customHeight="1">
      <c r="A657" s="545"/>
      <c r="B657" s="545"/>
      <c r="C657" s="545"/>
      <c r="D657" s="545"/>
      <c r="E657" s="545"/>
      <c r="F657" s="545"/>
      <c r="H657" s="545"/>
      <c r="I657" s="545"/>
      <c r="J657" s="545"/>
      <c r="K657" s="545"/>
      <c r="L657" s="545"/>
      <c r="M657" s="545"/>
      <c r="N657" s="545"/>
      <c r="O657" s="545"/>
      <c r="P657" s="545"/>
      <c r="Q657" s="545"/>
      <c r="R657" s="545"/>
      <c r="S657" s="545"/>
      <c r="W657" s="545"/>
      <c r="X657" s="545"/>
      <c r="Y657" s="545"/>
      <c r="Z657" s="545"/>
      <c r="AA657" s="545"/>
      <c r="AB657" s="545"/>
      <c r="AC657" s="545"/>
    </row>
    <row r="658" spans="1:29" ht="12.75" customHeight="1">
      <c r="A658" s="545"/>
      <c r="B658" s="545"/>
      <c r="C658" s="545"/>
      <c r="D658" s="545"/>
      <c r="E658" s="545"/>
      <c r="F658" s="545"/>
      <c r="H658" s="545"/>
      <c r="I658" s="545"/>
      <c r="J658" s="545"/>
      <c r="K658" s="545"/>
      <c r="L658" s="545"/>
      <c r="M658" s="545"/>
      <c r="N658" s="545"/>
      <c r="O658" s="545"/>
      <c r="P658" s="545"/>
      <c r="Q658" s="545"/>
      <c r="R658" s="545"/>
      <c r="S658" s="545"/>
      <c r="W658" s="545"/>
      <c r="X658" s="545"/>
      <c r="Y658" s="545"/>
      <c r="Z658" s="545"/>
      <c r="AA658" s="545"/>
      <c r="AB658" s="545"/>
      <c r="AC658" s="545"/>
    </row>
    <row r="659" spans="1:29" ht="12.75" customHeight="1">
      <c r="A659" s="545"/>
      <c r="B659" s="545"/>
      <c r="C659" s="545"/>
      <c r="D659" s="545"/>
      <c r="E659" s="545"/>
      <c r="F659" s="545"/>
      <c r="H659" s="545"/>
      <c r="I659" s="545"/>
      <c r="J659" s="545"/>
      <c r="K659" s="545"/>
      <c r="L659" s="545"/>
      <c r="M659" s="545"/>
      <c r="N659" s="545"/>
      <c r="O659" s="545"/>
      <c r="P659" s="545"/>
      <c r="Q659" s="545"/>
      <c r="R659" s="545"/>
      <c r="S659" s="545"/>
      <c r="W659" s="545"/>
      <c r="X659" s="545"/>
      <c r="Y659" s="545"/>
      <c r="Z659" s="545"/>
      <c r="AA659" s="545"/>
      <c r="AB659" s="545"/>
      <c r="AC659" s="545"/>
    </row>
    <row r="660" spans="1:29" ht="12.75" customHeight="1">
      <c r="A660" s="545"/>
      <c r="B660" s="545"/>
      <c r="C660" s="545"/>
      <c r="D660" s="545"/>
      <c r="E660" s="545"/>
      <c r="F660" s="545"/>
      <c r="H660" s="545"/>
      <c r="I660" s="545"/>
      <c r="J660" s="545"/>
      <c r="K660" s="545"/>
      <c r="L660" s="545"/>
      <c r="M660" s="545"/>
      <c r="N660" s="545"/>
      <c r="O660" s="545"/>
      <c r="P660" s="545"/>
      <c r="Q660" s="545"/>
      <c r="R660" s="545"/>
      <c r="S660" s="545"/>
      <c r="W660" s="545"/>
      <c r="X660" s="545"/>
      <c r="Y660" s="545"/>
      <c r="Z660" s="545"/>
      <c r="AA660" s="545"/>
      <c r="AB660" s="545"/>
      <c r="AC660" s="545"/>
    </row>
    <row r="661" spans="1:29" ht="12.75" customHeight="1">
      <c r="A661" s="545"/>
      <c r="B661" s="545"/>
      <c r="C661" s="545"/>
      <c r="D661" s="545"/>
      <c r="E661" s="545"/>
      <c r="F661" s="545"/>
      <c r="H661" s="545"/>
      <c r="I661" s="545"/>
      <c r="J661" s="545"/>
      <c r="K661" s="545"/>
      <c r="L661" s="545"/>
      <c r="M661" s="545"/>
      <c r="N661" s="545"/>
      <c r="O661" s="545"/>
      <c r="P661" s="545"/>
      <c r="Q661" s="545"/>
      <c r="R661" s="545"/>
      <c r="S661" s="545"/>
      <c r="W661" s="545"/>
      <c r="X661" s="545"/>
      <c r="Y661" s="545"/>
      <c r="Z661" s="545"/>
      <c r="AA661" s="545"/>
      <c r="AB661" s="545"/>
      <c r="AC661" s="545"/>
    </row>
    <row r="662" spans="1:29" ht="12.75" customHeight="1">
      <c r="A662" s="545"/>
      <c r="B662" s="545"/>
      <c r="C662" s="545"/>
      <c r="D662" s="545"/>
      <c r="E662" s="545"/>
      <c r="F662" s="545"/>
      <c r="H662" s="545"/>
      <c r="I662" s="545"/>
      <c r="J662" s="545"/>
      <c r="K662" s="545"/>
      <c r="L662" s="545"/>
      <c r="M662" s="545"/>
      <c r="N662" s="545"/>
      <c r="O662" s="545"/>
      <c r="P662" s="545"/>
      <c r="Q662" s="545"/>
      <c r="R662" s="545"/>
      <c r="S662" s="545"/>
      <c r="W662" s="545"/>
      <c r="X662" s="545"/>
      <c r="Y662" s="545"/>
      <c r="Z662" s="545"/>
      <c r="AA662" s="545"/>
      <c r="AB662" s="545"/>
      <c r="AC662" s="545"/>
    </row>
    <row r="663" spans="1:29" ht="12.75" customHeight="1">
      <c r="A663" s="545"/>
      <c r="B663" s="545"/>
      <c r="C663" s="545"/>
      <c r="D663" s="545"/>
      <c r="E663" s="545"/>
      <c r="F663" s="545"/>
      <c r="H663" s="545"/>
      <c r="I663" s="545"/>
      <c r="J663" s="545"/>
      <c r="K663" s="545"/>
      <c r="L663" s="545"/>
      <c r="M663" s="545"/>
      <c r="N663" s="545"/>
      <c r="O663" s="545"/>
      <c r="P663" s="545"/>
      <c r="Q663" s="545"/>
      <c r="R663" s="545"/>
      <c r="S663" s="545"/>
      <c r="W663" s="545"/>
      <c r="X663" s="545"/>
      <c r="Y663" s="545"/>
      <c r="Z663" s="545"/>
      <c r="AA663" s="545"/>
      <c r="AB663" s="545"/>
      <c r="AC663" s="545"/>
    </row>
    <row r="664" spans="1:29" ht="12.75" customHeight="1">
      <c r="A664" s="545"/>
      <c r="B664" s="545"/>
      <c r="C664" s="545"/>
      <c r="D664" s="545"/>
      <c r="E664" s="545"/>
      <c r="F664" s="545"/>
      <c r="H664" s="545"/>
      <c r="I664" s="545"/>
      <c r="J664" s="545"/>
      <c r="K664" s="545"/>
      <c r="L664" s="545"/>
      <c r="M664" s="545"/>
      <c r="N664" s="545"/>
      <c r="O664" s="545"/>
      <c r="P664" s="545"/>
      <c r="Q664" s="545"/>
      <c r="R664" s="545"/>
      <c r="S664" s="545"/>
      <c r="W664" s="545"/>
      <c r="X664" s="545"/>
      <c r="Y664" s="545"/>
      <c r="Z664" s="545"/>
      <c r="AA664" s="545"/>
      <c r="AB664" s="545"/>
      <c r="AC664" s="545"/>
    </row>
    <row r="665" spans="1:29" ht="12.75" customHeight="1">
      <c r="A665" s="545"/>
      <c r="B665" s="545"/>
      <c r="C665" s="545"/>
      <c r="D665" s="545"/>
      <c r="E665" s="545"/>
      <c r="F665" s="545"/>
      <c r="H665" s="545"/>
      <c r="I665" s="545"/>
      <c r="J665" s="545"/>
      <c r="K665" s="545"/>
      <c r="L665" s="545"/>
      <c r="M665" s="545"/>
      <c r="N665" s="545"/>
      <c r="O665" s="545"/>
      <c r="P665" s="545"/>
      <c r="Q665" s="545"/>
      <c r="R665" s="545"/>
      <c r="S665" s="545"/>
      <c r="W665" s="545"/>
      <c r="X665" s="545"/>
      <c r="Y665" s="545"/>
      <c r="Z665" s="545"/>
      <c r="AA665" s="545"/>
      <c r="AB665" s="545"/>
      <c r="AC665" s="545"/>
    </row>
    <row r="666" spans="1:29" ht="12.75" customHeight="1">
      <c r="A666" s="545"/>
      <c r="B666" s="545"/>
      <c r="C666" s="545"/>
      <c r="D666" s="545"/>
      <c r="E666" s="545"/>
      <c r="F666" s="545"/>
      <c r="H666" s="545"/>
      <c r="I666" s="545"/>
      <c r="J666" s="545"/>
      <c r="K666" s="545"/>
      <c r="L666" s="545"/>
      <c r="M666" s="545"/>
      <c r="N666" s="545"/>
      <c r="O666" s="545"/>
      <c r="P666" s="545"/>
      <c r="Q666" s="545"/>
      <c r="R666" s="545"/>
      <c r="S666" s="545"/>
      <c r="W666" s="545"/>
      <c r="X666" s="545"/>
      <c r="Y666" s="545"/>
      <c r="Z666" s="545"/>
      <c r="AA666" s="545"/>
      <c r="AB666" s="545"/>
      <c r="AC666" s="545"/>
    </row>
    <row r="667" spans="1:29" ht="12.75" customHeight="1">
      <c r="A667" s="545"/>
      <c r="B667" s="545"/>
      <c r="C667" s="545"/>
      <c r="D667" s="545"/>
      <c r="E667" s="545"/>
      <c r="F667" s="545"/>
      <c r="H667" s="545"/>
      <c r="I667" s="545"/>
      <c r="J667" s="545"/>
      <c r="K667" s="545"/>
      <c r="L667" s="545"/>
      <c r="M667" s="545"/>
      <c r="N667" s="545"/>
      <c r="O667" s="545"/>
      <c r="P667" s="545"/>
      <c r="Q667" s="545"/>
      <c r="R667" s="545"/>
      <c r="S667" s="545"/>
      <c r="W667" s="545"/>
      <c r="X667" s="545"/>
      <c r="Y667" s="545"/>
      <c r="Z667" s="545"/>
      <c r="AA667" s="545"/>
      <c r="AB667" s="545"/>
      <c r="AC667" s="545"/>
    </row>
    <row r="668" spans="1:29" ht="12.75" customHeight="1">
      <c r="A668" s="545"/>
      <c r="B668" s="545"/>
      <c r="C668" s="545"/>
      <c r="D668" s="545"/>
      <c r="E668" s="545"/>
      <c r="F668" s="545"/>
      <c r="H668" s="545"/>
      <c r="I668" s="545"/>
      <c r="J668" s="545"/>
      <c r="K668" s="545"/>
      <c r="L668" s="545"/>
      <c r="M668" s="545"/>
      <c r="N668" s="545"/>
      <c r="O668" s="545"/>
      <c r="P668" s="545"/>
      <c r="Q668" s="545"/>
      <c r="R668" s="545"/>
      <c r="S668" s="545"/>
      <c r="W668" s="545"/>
      <c r="X668" s="545"/>
      <c r="Y668" s="545"/>
      <c r="Z668" s="545"/>
      <c r="AA668" s="545"/>
      <c r="AB668" s="545"/>
      <c r="AC668" s="545"/>
    </row>
    <row r="669" spans="1:29" ht="12.75" customHeight="1">
      <c r="A669" s="545"/>
      <c r="B669" s="545"/>
      <c r="C669" s="545"/>
      <c r="D669" s="545"/>
      <c r="E669" s="545"/>
      <c r="F669" s="545"/>
      <c r="H669" s="545"/>
      <c r="I669" s="545"/>
      <c r="J669" s="545"/>
      <c r="K669" s="545"/>
      <c r="L669" s="545"/>
      <c r="M669" s="545"/>
      <c r="N669" s="545"/>
      <c r="O669" s="545"/>
      <c r="P669" s="545"/>
      <c r="Q669" s="545"/>
      <c r="R669" s="545"/>
      <c r="S669" s="545"/>
      <c r="W669" s="545"/>
      <c r="X669" s="545"/>
      <c r="Y669" s="545"/>
      <c r="Z669" s="545"/>
      <c r="AA669" s="545"/>
      <c r="AB669" s="545"/>
      <c r="AC669" s="545"/>
    </row>
    <row r="670" spans="1:29" ht="12.75" customHeight="1">
      <c r="A670" s="545"/>
      <c r="B670" s="545"/>
      <c r="C670" s="545"/>
      <c r="D670" s="545"/>
      <c r="E670" s="545"/>
      <c r="F670" s="545"/>
      <c r="H670" s="545"/>
      <c r="I670" s="545"/>
      <c r="J670" s="545"/>
      <c r="K670" s="545"/>
      <c r="L670" s="545"/>
      <c r="M670" s="545"/>
      <c r="N670" s="545"/>
      <c r="O670" s="545"/>
      <c r="P670" s="545"/>
      <c r="Q670" s="545"/>
      <c r="R670" s="545"/>
      <c r="S670" s="545"/>
      <c r="W670" s="545"/>
      <c r="X670" s="545"/>
      <c r="Y670" s="545"/>
      <c r="Z670" s="545"/>
      <c r="AA670" s="545"/>
      <c r="AB670" s="545"/>
      <c r="AC670" s="545"/>
    </row>
    <row r="671" spans="1:29" ht="12.75" customHeight="1">
      <c r="A671" s="545"/>
      <c r="B671" s="545"/>
      <c r="C671" s="545"/>
      <c r="D671" s="545"/>
      <c r="E671" s="545"/>
      <c r="F671" s="545"/>
      <c r="H671" s="545"/>
      <c r="I671" s="545"/>
      <c r="J671" s="545"/>
      <c r="K671" s="545"/>
      <c r="L671" s="545"/>
      <c r="M671" s="545"/>
      <c r="N671" s="545"/>
      <c r="O671" s="545"/>
      <c r="P671" s="545"/>
      <c r="Q671" s="545"/>
      <c r="R671" s="545"/>
      <c r="S671" s="545"/>
      <c r="W671" s="545"/>
      <c r="X671" s="545"/>
      <c r="Y671" s="545"/>
      <c r="Z671" s="545"/>
      <c r="AA671" s="545"/>
      <c r="AB671" s="545"/>
      <c r="AC671" s="545"/>
    </row>
    <row r="672" spans="1:29" ht="12.75" customHeight="1">
      <c r="A672" s="545"/>
      <c r="B672" s="545"/>
      <c r="C672" s="545"/>
      <c r="D672" s="545"/>
      <c r="E672" s="545"/>
      <c r="F672" s="545"/>
      <c r="H672" s="545"/>
      <c r="I672" s="545"/>
      <c r="J672" s="545"/>
      <c r="K672" s="545"/>
      <c r="L672" s="545"/>
      <c r="M672" s="545"/>
      <c r="N672" s="545"/>
      <c r="O672" s="545"/>
      <c r="P672" s="545"/>
      <c r="Q672" s="545"/>
      <c r="R672" s="545"/>
      <c r="S672" s="545"/>
      <c r="W672" s="545"/>
      <c r="X672" s="545"/>
      <c r="Y672" s="545"/>
      <c r="Z672" s="545"/>
      <c r="AA672" s="545"/>
      <c r="AB672" s="545"/>
      <c r="AC672" s="545"/>
    </row>
    <row r="673" spans="1:29" ht="12.75" customHeight="1">
      <c r="A673" s="545"/>
      <c r="B673" s="545"/>
      <c r="C673" s="545"/>
      <c r="D673" s="545"/>
      <c r="E673" s="545"/>
      <c r="F673" s="545"/>
      <c r="H673" s="545"/>
      <c r="I673" s="545"/>
      <c r="J673" s="545"/>
      <c r="K673" s="545"/>
      <c r="L673" s="545"/>
      <c r="M673" s="545"/>
      <c r="N673" s="545"/>
      <c r="O673" s="545"/>
      <c r="P673" s="545"/>
      <c r="Q673" s="545"/>
      <c r="R673" s="545"/>
      <c r="S673" s="545"/>
      <c r="W673" s="545"/>
      <c r="X673" s="545"/>
      <c r="Y673" s="545"/>
      <c r="Z673" s="545"/>
      <c r="AA673" s="545"/>
      <c r="AB673" s="545"/>
      <c r="AC673" s="545"/>
    </row>
    <row r="674" spans="1:29" ht="12.75" customHeight="1">
      <c r="A674" s="545"/>
      <c r="B674" s="545"/>
      <c r="C674" s="545"/>
      <c r="D674" s="545"/>
      <c r="E674" s="545"/>
      <c r="F674" s="545"/>
      <c r="H674" s="545"/>
      <c r="I674" s="545"/>
      <c r="J674" s="545"/>
      <c r="K674" s="545"/>
      <c r="L674" s="545"/>
      <c r="M674" s="545"/>
      <c r="N674" s="545"/>
      <c r="O674" s="545"/>
      <c r="P674" s="545"/>
      <c r="Q674" s="545"/>
      <c r="R674" s="545"/>
      <c r="S674" s="545"/>
      <c r="W674" s="545"/>
      <c r="X674" s="545"/>
      <c r="Y674" s="545"/>
      <c r="Z674" s="545"/>
      <c r="AA674" s="545"/>
      <c r="AB674" s="545"/>
      <c r="AC674" s="545"/>
    </row>
    <row r="675" spans="1:29" ht="12.75" customHeight="1">
      <c r="A675" s="545"/>
      <c r="B675" s="545"/>
      <c r="C675" s="545"/>
      <c r="D675" s="545"/>
      <c r="E675" s="545"/>
      <c r="F675" s="545"/>
      <c r="H675" s="545"/>
      <c r="I675" s="545"/>
      <c r="J675" s="545"/>
      <c r="K675" s="545"/>
      <c r="L675" s="545"/>
      <c r="M675" s="545"/>
      <c r="N675" s="545"/>
      <c r="O675" s="545"/>
      <c r="P675" s="545"/>
      <c r="Q675" s="545"/>
      <c r="R675" s="545"/>
      <c r="S675" s="545"/>
      <c r="W675" s="545"/>
      <c r="X675" s="545"/>
      <c r="Y675" s="545"/>
      <c r="Z675" s="545"/>
      <c r="AA675" s="545"/>
      <c r="AB675" s="545"/>
      <c r="AC675" s="545"/>
    </row>
    <row r="676" spans="1:29" ht="12.75" customHeight="1">
      <c r="A676" s="545"/>
      <c r="B676" s="545"/>
      <c r="C676" s="545"/>
      <c r="D676" s="545"/>
      <c r="E676" s="545"/>
      <c r="F676" s="545"/>
      <c r="H676" s="545"/>
      <c r="I676" s="545"/>
      <c r="J676" s="545"/>
      <c r="K676" s="545"/>
      <c r="L676" s="545"/>
      <c r="M676" s="545"/>
      <c r="N676" s="545"/>
      <c r="O676" s="545"/>
      <c r="P676" s="545"/>
      <c r="Q676" s="545"/>
      <c r="R676" s="545"/>
      <c r="S676" s="545"/>
      <c r="W676" s="545"/>
      <c r="X676" s="545"/>
      <c r="Y676" s="545"/>
      <c r="Z676" s="545"/>
      <c r="AA676" s="545"/>
      <c r="AB676" s="545"/>
      <c r="AC676" s="545"/>
    </row>
    <row r="677" spans="1:29" ht="12.75" customHeight="1">
      <c r="A677" s="545"/>
      <c r="B677" s="545"/>
      <c r="C677" s="545"/>
      <c r="D677" s="545"/>
      <c r="E677" s="545"/>
      <c r="F677" s="545"/>
      <c r="H677" s="545"/>
      <c r="I677" s="545"/>
      <c r="J677" s="545"/>
      <c r="K677" s="545"/>
      <c r="L677" s="545"/>
      <c r="M677" s="545"/>
      <c r="N677" s="545"/>
      <c r="O677" s="545"/>
      <c r="P677" s="545"/>
      <c r="Q677" s="545"/>
      <c r="R677" s="545"/>
      <c r="S677" s="545"/>
      <c r="W677" s="545"/>
      <c r="X677" s="545"/>
      <c r="Y677" s="545"/>
      <c r="Z677" s="545"/>
      <c r="AA677" s="545"/>
      <c r="AB677" s="545"/>
      <c r="AC677" s="545"/>
    </row>
    <row r="678" spans="1:29" ht="12.75" customHeight="1">
      <c r="A678" s="545"/>
      <c r="B678" s="545"/>
      <c r="C678" s="545"/>
      <c r="D678" s="545"/>
      <c r="E678" s="545"/>
      <c r="F678" s="545"/>
      <c r="H678" s="545"/>
      <c r="I678" s="545"/>
      <c r="J678" s="545"/>
      <c r="K678" s="545"/>
      <c r="L678" s="545"/>
      <c r="M678" s="545"/>
      <c r="N678" s="545"/>
      <c r="O678" s="545"/>
      <c r="P678" s="545"/>
      <c r="Q678" s="545"/>
      <c r="R678" s="545"/>
      <c r="S678" s="545"/>
      <c r="W678" s="545"/>
      <c r="X678" s="545"/>
      <c r="Y678" s="545"/>
      <c r="Z678" s="545"/>
      <c r="AA678" s="545"/>
      <c r="AB678" s="545"/>
      <c r="AC678" s="545"/>
    </row>
    <row r="679" spans="1:29" ht="12.75" customHeight="1">
      <c r="A679" s="545"/>
      <c r="B679" s="545"/>
      <c r="C679" s="545"/>
      <c r="D679" s="545"/>
      <c r="E679" s="545"/>
      <c r="F679" s="545"/>
      <c r="H679" s="545"/>
      <c r="I679" s="545"/>
      <c r="J679" s="545"/>
      <c r="K679" s="545"/>
      <c r="L679" s="545"/>
      <c r="M679" s="545"/>
      <c r="N679" s="545"/>
      <c r="O679" s="545"/>
      <c r="P679" s="545"/>
      <c r="Q679" s="545"/>
      <c r="R679" s="545"/>
      <c r="S679" s="545"/>
      <c r="W679" s="545"/>
      <c r="X679" s="545"/>
      <c r="Y679" s="545"/>
      <c r="Z679" s="545"/>
      <c r="AA679" s="545"/>
      <c r="AB679" s="545"/>
      <c r="AC679" s="545"/>
    </row>
    <row r="680" spans="1:29" ht="12.75" customHeight="1">
      <c r="A680" s="545"/>
      <c r="B680" s="545"/>
      <c r="C680" s="545"/>
      <c r="D680" s="545"/>
      <c r="E680" s="545"/>
      <c r="F680" s="545"/>
      <c r="H680" s="545"/>
      <c r="I680" s="545"/>
      <c r="J680" s="545"/>
      <c r="K680" s="545"/>
      <c r="L680" s="545"/>
      <c r="M680" s="545"/>
      <c r="N680" s="545"/>
      <c r="O680" s="545"/>
      <c r="P680" s="545"/>
      <c r="Q680" s="545"/>
      <c r="R680" s="545"/>
      <c r="S680" s="545"/>
      <c r="W680" s="545"/>
      <c r="X680" s="545"/>
      <c r="Y680" s="545"/>
      <c r="Z680" s="545"/>
      <c r="AA680" s="545"/>
      <c r="AB680" s="545"/>
      <c r="AC680" s="545"/>
    </row>
    <row r="681" spans="1:29" ht="12.75" customHeight="1">
      <c r="A681" s="545"/>
      <c r="B681" s="545"/>
      <c r="C681" s="545"/>
      <c r="D681" s="545"/>
      <c r="E681" s="545"/>
      <c r="F681" s="545"/>
      <c r="H681" s="545"/>
      <c r="I681" s="545"/>
      <c r="J681" s="545"/>
      <c r="K681" s="545"/>
      <c r="L681" s="545"/>
      <c r="M681" s="545"/>
      <c r="N681" s="545"/>
      <c r="O681" s="545"/>
      <c r="P681" s="545"/>
      <c r="Q681" s="545"/>
      <c r="R681" s="545"/>
      <c r="S681" s="545"/>
      <c r="W681" s="545"/>
      <c r="X681" s="545"/>
      <c r="Y681" s="545"/>
      <c r="Z681" s="545"/>
      <c r="AA681" s="545"/>
      <c r="AB681" s="545"/>
      <c r="AC681" s="545"/>
    </row>
    <row r="682" spans="1:29" ht="12.75" customHeight="1">
      <c r="A682" s="545"/>
      <c r="B682" s="545"/>
      <c r="C682" s="545"/>
      <c r="D682" s="545"/>
      <c r="E682" s="545"/>
      <c r="F682" s="545"/>
      <c r="H682" s="545"/>
      <c r="I682" s="545"/>
      <c r="J682" s="545"/>
      <c r="K682" s="545"/>
      <c r="L682" s="545"/>
      <c r="M682" s="545"/>
      <c r="N682" s="545"/>
      <c r="O682" s="545"/>
      <c r="P682" s="545"/>
      <c r="Q682" s="545"/>
      <c r="R682" s="545"/>
      <c r="S682" s="545"/>
      <c r="W682" s="545"/>
      <c r="X682" s="545"/>
      <c r="Y682" s="545"/>
      <c r="Z682" s="545"/>
      <c r="AA682" s="545"/>
      <c r="AB682" s="545"/>
      <c r="AC682" s="545"/>
    </row>
    <row r="683" spans="1:29" ht="12.75" customHeight="1">
      <c r="A683" s="545"/>
      <c r="B683" s="545"/>
      <c r="C683" s="545"/>
      <c r="D683" s="545"/>
      <c r="E683" s="545"/>
      <c r="F683" s="545"/>
      <c r="H683" s="545"/>
      <c r="I683" s="545"/>
      <c r="J683" s="545"/>
      <c r="K683" s="545"/>
      <c r="L683" s="545"/>
      <c r="M683" s="545"/>
      <c r="N683" s="545"/>
      <c r="O683" s="545"/>
      <c r="P683" s="545"/>
      <c r="Q683" s="545"/>
      <c r="R683" s="545"/>
      <c r="S683" s="545"/>
      <c r="W683" s="545"/>
      <c r="X683" s="545"/>
      <c r="Y683" s="545"/>
      <c r="Z683" s="545"/>
      <c r="AA683" s="545"/>
      <c r="AB683" s="545"/>
      <c r="AC683" s="545"/>
    </row>
    <row r="684" spans="1:29" ht="12.75" customHeight="1">
      <c r="A684" s="545"/>
      <c r="B684" s="545"/>
      <c r="C684" s="545"/>
      <c r="D684" s="545"/>
      <c r="E684" s="545"/>
      <c r="F684" s="545"/>
      <c r="H684" s="545"/>
      <c r="I684" s="545"/>
      <c r="J684" s="545"/>
      <c r="K684" s="545"/>
      <c r="L684" s="545"/>
      <c r="M684" s="545"/>
      <c r="N684" s="545"/>
      <c r="O684" s="545"/>
      <c r="P684" s="545"/>
      <c r="Q684" s="545"/>
      <c r="R684" s="545"/>
      <c r="S684" s="545"/>
      <c r="W684" s="545"/>
      <c r="X684" s="545"/>
      <c r="Y684" s="545"/>
      <c r="Z684" s="545"/>
      <c r="AA684" s="545"/>
      <c r="AB684" s="545"/>
      <c r="AC684" s="545"/>
    </row>
    <row r="685" spans="1:29" ht="12.75" customHeight="1">
      <c r="A685" s="545"/>
      <c r="B685" s="545"/>
      <c r="C685" s="545"/>
      <c r="D685" s="545"/>
      <c r="E685" s="545"/>
      <c r="F685" s="545"/>
      <c r="H685" s="545"/>
      <c r="I685" s="545"/>
      <c r="J685" s="545"/>
      <c r="K685" s="545"/>
      <c r="L685" s="545"/>
      <c r="M685" s="545"/>
      <c r="N685" s="545"/>
      <c r="O685" s="545"/>
      <c r="P685" s="545"/>
      <c r="Q685" s="545"/>
      <c r="R685" s="545"/>
      <c r="S685" s="545"/>
      <c r="W685" s="545"/>
      <c r="X685" s="545"/>
      <c r="Y685" s="545"/>
      <c r="Z685" s="545"/>
      <c r="AA685" s="545"/>
      <c r="AB685" s="545"/>
      <c r="AC685" s="545"/>
    </row>
    <row r="686" spans="1:29" ht="12.75" customHeight="1">
      <c r="A686" s="545"/>
      <c r="B686" s="545"/>
      <c r="C686" s="545"/>
      <c r="D686" s="545"/>
      <c r="E686" s="545"/>
      <c r="F686" s="545"/>
      <c r="H686" s="545"/>
      <c r="I686" s="545"/>
      <c r="J686" s="545"/>
      <c r="K686" s="545"/>
      <c r="L686" s="545"/>
      <c r="M686" s="545"/>
      <c r="N686" s="545"/>
      <c r="O686" s="545"/>
      <c r="P686" s="545"/>
      <c r="Q686" s="545"/>
      <c r="R686" s="545"/>
      <c r="S686" s="545"/>
      <c r="W686" s="545"/>
      <c r="X686" s="545"/>
      <c r="Y686" s="545"/>
      <c r="Z686" s="545"/>
      <c r="AA686" s="545"/>
      <c r="AB686" s="545"/>
      <c r="AC686" s="545"/>
    </row>
    <row r="687" spans="1:29" ht="12.75" customHeight="1">
      <c r="A687" s="545"/>
      <c r="B687" s="545"/>
      <c r="C687" s="545"/>
      <c r="D687" s="545"/>
      <c r="E687" s="545"/>
      <c r="F687" s="545"/>
      <c r="H687" s="545"/>
      <c r="I687" s="545"/>
      <c r="J687" s="545"/>
      <c r="K687" s="545"/>
      <c r="L687" s="545"/>
      <c r="M687" s="545"/>
      <c r="N687" s="545"/>
      <c r="O687" s="545"/>
      <c r="P687" s="545"/>
      <c r="Q687" s="545"/>
      <c r="R687" s="545"/>
      <c r="S687" s="545"/>
      <c r="W687" s="545"/>
      <c r="X687" s="545"/>
      <c r="Y687" s="545"/>
      <c r="Z687" s="545"/>
      <c r="AA687" s="545"/>
      <c r="AB687" s="545"/>
      <c r="AC687" s="545"/>
    </row>
    <row r="688" spans="1:29" ht="12.75" customHeight="1">
      <c r="A688" s="545"/>
      <c r="B688" s="545"/>
      <c r="C688" s="545"/>
      <c r="D688" s="545"/>
      <c r="E688" s="545"/>
      <c r="F688" s="545"/>
      <c r="H688" s="545"/>
      <c r="I688" s="545"/>
      <c r="J688" s="545"/>
      <c r="K688" s="545"/>
      <c r="L688" s="545"/>
      <c r="M688" s="545"/>
      <c r="N688" s="545"/>
      <c r="O688" s="545"/>
      <c r="P688" s="545"/>
      <c r="Q688" s="545"/>
      <c r="R688" s="545"/>
      <c r="S688" s="545"/>
      <c r="W688" s="545"/>
      <c r="X688" s="545"/>
      <c r="Y688" s="545"/>
      <c r="Z688" s="545"/>
      <c r="AA688" s="545"/>
      <c r="AB688" s="545"/>
      <c r="AC688" s="545"/>
    </row>
    <row r="689" spans="1:29" ht="12.75" customHeight="1">
      <c r="A689" s="545"/>
      <c r="B689" s="545"/>
      <c r="C689" s="545"/>
      <c r="D689" s="545"/>
      <c r="E689" s="545"/>
      <c r="F689" s="545"/>
      <c r="H689" s="545"/>
      <c r="I689" s="545"/>
      <c r="J689" s="545"/>
      <c r="K689" s="545"/>
      <c r="L689" s="545"/>
      <c r="M689" s="545"/>
      <c r="N689" s="545"/>
      <c r="O689" s="545"/>
      <c r="P689" s="545"/>
      <c r="Q689" s="545"/>
      <c r="R689" s="545"/>
      <c r="S689" s="545"/>
      <c r="W689" s="545"/>
      <c r="X689" s="545"/>
      <c r="Y689" s="545"/>
      <c r="Z689" s="545"/>
      <c r="AA689" s="545"/>
      <c r="AB689" s="545"/>
      <c r="AC689" s="545"/>
    </row>
    <row r="690" spans="1:29" ht="12.75" customHeight="1">
      <c r="A690" s="545"/>
      <c r="B690" s="545"/>
      <c r="C690" s="545"/>
      <c r="D690" s="545"/>
      <c r="E690" s="545"/>
      <c r="F690" s="545"/>
      <c r="H690" s="545"/>
      <c r="I690" s="545"/>
      <c r="J690" s="545"/>
      <c r="K690" s="545"/>
      <c r="L690" s="545"/>
      <c r="M690" s="545"/>
      <c r="N690" s="545"/>
      <c r="O690" s="545"/>
      <c r="P690" s="545"/>
      <c r="Q690" s="545"/>
      <c r="R690" s="545"/>
      <c r="S690" s="545"/>
      <c r="W690" s="545"/>
      <c r="X690" s="545"/>
      <c r="Y690" s="545"/>
      <c r="Z690" s="545"/>
      <c r="AA690" s="545"/>
      <c r="AB690" s="545"/>
      <c r="AC690" s="545"/>
    </row>
    <row r="691" spans="1:29" ht="12.75" customHeight="1">
      <c r="A691" s="545"/>
      <c r="B691" s="545"/>
      <c r="C691" s="545"/>
      <c r="D691" s="545"/>
      <c r="E691" s="545"/>
      <c r="F691" s="545"/>
      <c r="H691" s="545"/>
      <c r="I691" s="545"/>
      <c r="J691" s="545"/>
      <c r="K691" s="545"/>
      <c r="L691" s="545"/>
      <c r="M691" s="545"/>
      <c r="N691" s="545"/>
      <c r="O691" s="545"/>
      <c r="P691" s="545"/>
      <c r="Q691" s="545"/>
      <c r="R691" s="545"/>
      <c r="S691" s="545"/>
      <c r="W691" s="545"/>
      <c r="X691" s="545"/>
      <c r="Y691" s="545"/>
      <c r="Z691" s="545"/>
      <c r="AA691" s="545"/>
      <c r="AB691" s="545"/>
      <c r="AC691" s="545"/>
    </row>
    <row r="692" spans="1:29" ht="12.75" customHeight="1">
      <c r="A692" s="545"/>
      <c r="B692" s="545"/>
      <c r="C692" s="545"/>
      <c r="D692" s="545"/>
      <c r="E692" s="545"/>
      <c r="F692" s="545"/>
      <c r="H692" s="545"/>
      <c r="I692" s="545"/>
      <c r="J692" s="545"/>
      <c r="K692" s="545"/>
      <c r="L692" s="545"/>
      <c r="M692" s="545"/>
      <c r="N692" s="545"/>
      <c r="O692" s="545"/>
      <c r="P692" s="545"/>
      <c r="Q692" s="545"/>
      <c r="R692" s="545"/>
      <c r="S692" s="545"/>
      <c r="W692" s="545"/>
      <c r="X692" s="545"/>
      <c r="Y692" s="545"/>
      <c r="Z692" s="545"/>
      <c r="AA692" s="545"/>
      <c r="AB692" s="545"/>
      <c r="AC692" s="545"/>
    </row>
    <row r="693" spans="1:29" ht="12.75" customHeight="1">
      <c r="A693" s="545"/>
      <c r="B693" s="545"/>
      <c r="C693" s="545"/>
      <c r="D693" s="545"/>
      <c r="E693" s="545"/>
      <c r="F693" s="545"/>
      <c r="H693" s="545"/>
      <c r="I693" s="545"/>
      <c r="J693" s="545"/>
      <c r="K693" s="545"/>
      <c r="L693" s="545"/>
      <c r="M693" s="545"/>
      <c r="N693" s="545"/>
      <c r="O693" s="545"/>
      <c r="P693" s="545"/>
      <c r="Q693" s="545"/>
      <c r="R693" s="545"/>
      <c r="S693" s="545"/>
      <c r="W693" s="545"/>
      <c r="X693" s="545"/>
      <c r="Y693" s="545"/>
      <c r="Z693" s="545"/>
      <c r="AA693" s="545"/>
      <c r="AB693" s="545"/>
      <c r="AC693" s="545"/>
    </row>
    <row r="694" spans="1:29" ht="12.75" customHeight="1">
      <c r="A694" s="545"/>
      <c r="B694" s="545"/>
      <c r="C694" s="545"/>
      <c r="D694" s="545"/>
      <c r="E694" s="545"/>
      <c r="F694" s="545"/>
      <c r="H694" s="545"/>
      <c r="I694" s="545"/>
      <c r="J694" s="545"/>
      <c r="K694" s="545"/>
      <c r="L694" s="545"/>
      <c r="M694" s="545"/>
      <c r="N694" s="545"/>
      <c r="O694" s="545"/>
      <c r="P694" s="545"/>
      <c r="Q694" s="545"/>
      <c r="R694" s="545"/>
      <c r="S694" s="545"/>
      <c r="W694" s="545"/>
      <c r="X694" s="545"/>
      <c r="Y694" s="545"/>
      <c r="Z694" s="545"/>
      <c r="AA694" s="545"/>
      <c r="AB694" s="545"/>
      <c r="AC694" s="545"/>
    </row>
    <row r="695" spans="1:29" ht="12.75" customHeight="1">
      <c r="A695" s="545"/>
      <c r="B695" s="545"/>
      <c r="C695" s="545"/>
      <c r="D695" s="545"/>
      <c r="E695" s="545"/>
      <c r="F695" s="545"/>
      <c r="H695" s="545"/>
      <c r="I695" s="545"/>
      <c r="J695" s="545"/>
      <c r="K695" s="545"/>
      <c r="L695" s="545"/>
      <c r="M695" s="545"/>
      <c r="N695" s="545"/>
      <c r="O695" s="545"/>
      <c r="P695" s="545"/>
      <c r="Q695" s="545"/>
      <c r="R695" s="545"/>
      <c r="S695" s="545"/>
      <c r="W695" s="545"/>
      <c r="X695" s="545"/>
      <c r="Y695" s="545"/>
      <c r="Z695" s="545"/>
      <c r="AA695" s="545"/>
      <c r="AB695" s="545"/>
      <c r="AC695" s="545"/>
    </row>
    <row r="696" spans="1:29" ht="12.75" customHeight="1">
      <c r="A696" s="545"/>
      <c r="B696" s="545"/>
      <c r="C696" s="545"/>
      <c r="D696" s="545"/>
      <c r="E696" s="545"/>
      <c r="F696" s="545"/>
      <c r="H696" s="545"/>
      <c r="I696" s="545"/>
      <c r="J696" s="545"/>
      <c r="K696" s="545"/>
      <c r="L696" s="545"/>
      <c r="M696" s="545"/>
      <c r="N696" s="545"/>
      <c r="O696" s="545"/>
      <c r="P696" s="545"/>
      <c r="Q696" s="545"/>
      <c r="R696" s="545"/>
      <c r="S696" s="545"/>
      <c r="W696" s="545"/>
      <c r="X696" s="545"/>
      <c r="Y696" s="545"/>
      <c r="Z696" s="545"/>
      <c r="AA696" s="545"/>
      <c r="AB696" s="545"/>
      <c r="AC696" s="545"/>
    </row>
    <row r="697" spans="1:29" ht="12.75" customHeight="1">
      <c r="A697" s="545"/>
      <c r="B697" s="545"/>
      <c r="C697" s="545"/>
      <c r="D697" s="545"/>
      <c r="E697" s="545"/>
      <c r="F697" s="545"/>
      <c r="H697" s="545"/>
      <c r="I697" s="545"/>
      <c r="J697" s="545"/>
      <c r="K697" s="545"/>
      <c r="L697" s="545"/>
      <c r="M697" s="545"/>
      <c r="N697" s="545"/>
      <c r="O697" s="545"/>
      <c r="P697" s="545"/>
      <c r="Q697" s="545"/>
      <c r="R697" s="545"/>
      <c r="S697" s="545"/>
      <c r="W697" s="545"/>
      <c r="X697" s="545"/>
      <c r="Y697" s="545"/>
      <c r="Z697" s="545"/>
      <c r="AA697" s="545"/>
      <c r="AB697" s="545"/>
      <c r="AC697" s="545"/>
    </row>
    <row r="698" spans="1:29" ht="12.75" customHeight="1">
      <c r="A698" s="545"/>
      <c r="B698" s="545"/>
      <c r="C698" s="545"/>
      <c r="D698" s="545"/>
      <c r="E698" s="545"/>
      <c r="F698" s="545"/>
      <c r="H698" s="545"/>
      <c r="I698" s="545"/>
      <c r="J698" s="545"/>
      <c r="K698" s="545"/>
      <c r="L698" s="545"/>
      <c r="M698" s="545"/>
      <c r="N698" s="545"/>
      <c r="O698" s="545"/>
      <c r="P698" s="545"/>
      <c r="Q698" s="545"/>
      <c r="R698" s="545"/>
      <c r="S698" s="545"/>
      <c r="W698" s="545"/>
      <c r="X698" s="545"/>
      <c r="Y698" s="545"/>
      <c r="Z698" s="545"/>
      <c r="AA698" s="545"/>
      <c r="AB698" s="545"/>
      <c r="AC698" s="545"/>
    </row>
    <row r="699" spans="1:29" ht="12.75" customHeight="1">
      <c r="A699" s="545"/>
      <c r="B699" s="545"/>
      <c r="C699" s="545"/>
      <c r="D699" s="545"/>
      <c r="E699" s="545"/>
      <c r="F699" s="545"/>
      <c r="H699" s="545"/>
      <c r="I699" s="545"/>
      <c r="J699" s="545"/>
      <c r="K699" s="545"/>
      <c r="L699" s="545"/>
      <c r="M699" s="545"/>
      <c r="N699" s="545"/>
      <c r="O699" s="545"/>
      <c r="P699" s="545"/>
      <c r="Q699" s="545"/>
      <c r="R699" s="545"/>
      <c r="S699" s="545"/>
      <c r="W699" s="545"/>
      <c r="X699" s="545"/>
      <c r="Y699" s="545"/>
      <c r="Z699" s="545"/>
      <c r="AA699" s="545"/>
      <c r="AB699" s="545"/>
      <c r="AC699" s="545"/>
    </row>
    <row r="700" spans="1:29" ht="12.75" customHeight="1">
      <c r="A700" s="545"/>
      <c r="B700" s="545"/>
      <c r="C700" s="545"/>
      <c r="D700" s="545"/>
      <c r="E700" s="545"/>
      <c r="F700" s="545"/>
      <c r="H700" s="545"/>
      <c r="I700" s="545"/>
      <c r="J700" s="545"/>
      <c r="K700" s="545"/>
      <c r="L700" s="545"/>
      <c r="M700" s="545"/>
      <c r="N700" s="545"/>
      <c r="O700" s="545"/>
      <c r="P700" s="545"/>
      <c r="Q700" s="545"/>
      <c r="R700" s="545"/>
      <c r="S700" s="545"/>
      <c r="W700" s="545"/>
      <c r="X700" s="545"/>
      <c r="Y700" s="545"/>
      <c r="Z700" s="545"/>
      <c r="AA700" s="545"/>
      <c r="AB700" s="545"/>
      <c r="AC700" s="545"/>
    </row>
    <row r="701" spans="1:29" ht="12.75" customHeight="1">
      <c r="A701" s="545"/>
      <c r="B701" s="545"/>
      <c r="C701" s="545"/>
      <c r="D701" s="545"/>
      <c r="E701" s="545"/>
      <c r="F701" s="545"/>
      <c r="H701" s="545"/>
      <c r="I701" s="545"/>
      <c r="J701" s="545"/>
      <c r="K701" s="545"/>
      <c r="L701" s="545"/>
      <c r="M701" s="545"/>
      <c r="N701" s="545"/>
      <c r="O701" s="545"/>
      <c r="P701" s="545"/>
      <c r="Q701" s="545"/>
      <c r="R701" s="545"/>
      <c r="S701" s="545"/>
      <c r="W701" s="545"/>
      <c r="X701" s="545"/>
      <c r="Y701" s="545"/>
      <c r="Z701" s="545"/>
      <c r="AA701" s="545"/>
      <c r="AB701" s="545"/>
      <c r="AC701" s="545"/>
    </row>
    <row r="702" spans="1:29" ht="12.75" customHeight="1">
      <c r="A702" s="545"/>
      <c r="B702" s="545"/>
      <c r="C702" s="545"/>
      <c r="D702" s="545"/>
      <c r="E702" s="545"/>
      <c r="F702" s="545"/>
      <c r="H702" s="545"/>
      <c r="I702" s="545"/>
      <c r="J702" s="545"/>
      <c r="K702" s="545"/>
      <c r="L702" s="545"/>
      <c r="M702" s="545"/>
      <c r="N702" s="545"/>
      <c r="O702" s="545"/>
      <c r="P702" s="545"/>
      <c r="Q702" s="545"/>
      <c r="R702" s="545"/>
      <c r="S702" s="545"/>
      <c r="W702" s="545"/>
      <c r="X702" s="545"/>
      <c r="Y702" s="545"/>
      <c r="Z702" s="545"/>
      <c r="AA702" s="545"/>
      <c r="AB702" s="545"/>
      <c r="AC702" s="545"/>
    </row>
    <row r="703" spans="1:29" ht="12.75" customHeight="1">
      <c r="A703" s="545"/>
      <c r="B703" s="545"/>
      <c r="C703" s="545"/>
      <c r="D703" s="545"/>
      <c r="E703" s="545"/>
      <c r="F703" s="545"/>
      <c r="H703" s="545"/>
      <c r="I703" s="545"/>
      <c r="J703" s="545"/>
      <c r="K703" s="545"/>
      <c r="L703" s="545"/>
      <c r="M703" s="545"/>
      <c r="N703" s="545"/>
      <c r="O703" s="545"/>
      <c r="P703" s="545"/>
      <c r="Q703" s="545"/>
      <c r="R703" s="545"/>
      <c r="S703" s="545"/>
      <c r="W703" s="545"/>
      <c r="X703" s="545"/>
      <c r="Y703" s="545"/>
      <c r="Z703" s="545"/>
      <c r="AA703" s="545"/>
      <c r="AB703" s="545"/>
      <c r="AC703" s="545"/>
    </row>
    <row r="704" spans="1:29" ht="12.75" customHeight="1">
      <c r="A704" s="545"/>
      <c r="B704" s="545"/>
      <c r="C704" s="545"/>
      <c r="D704" s="545"/>
      <c r="E704" s="545"/>
      <c r="F704" s="545"/>
      <c r="H704" s="545"/>
      <c r="I704" s="545"/>
      <c r="J704" s="545"/>
      <c r="K704" s="545"/>
      <c r="L704" s="545"/>
      <c r="M704" s="545"/>
      <c r="N704" s="545"/>
      <c r="O704" s="545"/>
      <c r="P704" s="545"/>
      <c r="Q704" s="545"/>
      <c r="R704" s="545"/>
      <c r="S704" s="545"/>
      <c r="W704" s="545"/>
      <c r="X704" s="545"/>
      <c r="Y704" s="545"/>
      <c r="Z704" s="545"/>
      <c r="AA704" s="545"/>
      <c r="AB704" s="545"/>
      <c r="AC704" s="545"/>
    </row>
    <row r="705" spans="1:29" ht="12.75" customHeight="1">
      <c r="A705" s="545"/>
      <c r="B705" s="545"/>
      <c r="C705" s="545"/>
      <c r="D705" s="545"/>
      <c r="E705" s="545"/>
      <c r="F705" s="545"/>
      <c r="H705" s="545"/>
      <c r="I705" s="545"/>
      <c r="J705" s="545"/>
      <c r="K705" s="545"/>
      <c r="L705" s="545"/>
      <c r="M705" s="545"/>
      <c r="N705" s="545"/>
      <c r="O705" s="545"/>
      <c r="P705" s="545"/>
      <c r="Q705" s="545"/>
      <c r="R705" s="545"/>
      <c r="S705" s="545"/>
      <c r="W705" s="545"/>
      <c r="X705" s="545"/>
      <c r="Y705" s="545"/>
      <c r="Z705" s="545"/>
      <c r="AA705" s="545"/>
      <c r="AB705" s="545"/>
      <c r="AC705" s="545"/>
    </row>
    <row r="706" spans="1:29" ht="12.75" customHeight="1">
      <c r="A706" s="545"/>
      <c r="B706" s="545"/>
      <c r="C706" s="545"/>
      <c r="D706" s="545"/>
      <c r="E706" s="545"/>
      <c r="F706" s="545"/>
      <c r="H706" s="545"/>
      <c r="I706" s="545"/>
      <c r="J706" s="545"/>
      <c r="K706" s="545"/>
      <c r="L706" s="545"/>
      <c r="M706" s="545"/>
      <c r="N706" s="545"/>
      <c r="O706" s="545"/>
      <c r="P706" s="545"/>
      <c r="Q706" s="545"/>
      <c r="R706" s="545"/>
      <c r="S706" s="545"/>
      <c r="W706" s="545"/>
      <c r="X706" s="545"/>
      <c r="Y706" s="545"/>
      <c r="Z706" s="545"/>
      <c r="AA706" s="545"/>
      <c r="AB706" s="545"/>
      <c r="AC706" s="545"/>
    </row>
    <row r="707" spans="1:29" ht="12.75" customHeight="1">
      <c r="A707" s="545"/>
      <c r="B707" s="545"/>
      <c r="C707" s="545"/>
      <c r="D707" s="545"/>
      <c r="E707" s="545"/>
      <c r="F707" s="545"/>
      <c r="H707" s="545"/>
      <c r="I707" s="545"/>
      <c r="J707" s="545"/>
      <c r="K707" s="545"/>
      <c r="L707" s="545"/>
      <c r="M707" s="545"/>
      <c r="N707" s="545"/>
      <c r="O707" s="545"/>
      <c r="P707" s="545"/>
      <c r="Q707" s="545"/>
      <c r="R707" s="545"/>
      <c r="S707" s="545"/>
      <c r="W707" s="545"/>
      <c r="X707" s="545"/>
      <c r="Y707" s="545"/>
      <c r="Z707" s="545"/>
      <c r="AA707" s="545"/>
      <c r="AB707" s="545"/>
      <c r="AC707" s="545"/>
    </row>
    <row r="708" spans="1:29" ht="12.75" customHeight="1">
      <c r="A708" s="545"/>
      <c r="B708" s="545"/>
      <c r="C708" s="545"/>
      <c r="D708" s="545"/>
      <c r="E708" s="545"/>
      <c r="F708" s="545"/>
      <c r="H708" s="545"/>
      <c r="I708" s="545"/>
      <c r="J708" s="545"/>
      <c r="K708" s="545"/>
      <c r="L708" s="545"/>
      <c r="M708" s="545"/>
      <c r="N708" s="545"/>
      <c r="O708" s="545"/>
      <c r="P708" s="545"/>
      <c r="Q708" s="545"/>
      <c r="R708" s="545"/>
      <c r="S708" s="545"/>
      <c r="W708" s="545"/>
      <c r="X708" s="545"/>
      <c r="Y708" s="545"/>
      <c r="Z708" s="545"/>
      <c r="AA708" s="545"/>
      <c r="AB708" s="545"/>
      <c r="AC708" s="545"/>
    </row>
    <row r="709" spans="1:29" ht="12.75" customHeight="1">
      <c r="A709" s="545"/>
      <c r="B709" s="545"/>
      <c r="C709" s="545"/>
      <c r="D709" s="545"/>
      <c r="E709" s="545"/>
      <c r="F709" s="545"/>
      <c r="H709" s="545"/>
      <c r="I709" s="545"/>
      <c r="J709" s="545"/>
      <c r="K709" s="545"/>
      <c r="L709" s="545"/>
      <c r="M709" s="545"/>
      <c r="N709" s="545"/>
      <c r="O709" s="545"/>
      <c r="P709" s="545"/>
      <c r="Q709" s="545"/>
      <c r="R709" s="545"/>
      <c r="S709" s="545"/>
      <c r="W709" s="545"/>
      <c r="X709" s="545"/>
      <c r="Y709" s="545"/>
      <c r="Z709" s="545"/>
      <c r="AA709" s="545"/>
      <c r="AB709" s="545"/>
      <c r="AC709" s="545"/>
    </row>
    <row r="710" spans="1:29" ht="12.75" customHeight="1">
      <c r="A710" s="545"/>
      <c r="B710" s="545"/>
      <c r="C710" s="545"/>
      <c r="D710" s="545"/>
      <c r="E710" s="545"/>
      <c r="F710" s="545"/>
      <c r="H710" s="545"/>
      <c r="I710" s="545"/>
      <c r="J710" s="545"/>
      <c r="K710" s="545"/>
      <c r="L710" s="545"/>
      <c r="M710" s="545"/>
      <c r="N710" s="545"/>
      <c r="O710" s="545"/>
      <c r="P710" s="545"/>
      <c r="Q710" s="545"/>
      <c r="R710" s="545"/>
      <c r="S710" s="545"/>
      <c r="W710" s="545"/>
      <c r="X710" s="545"/>
      <c r="Y710" s="545"/>
      <c r="Z710" s="545"/>
      <c r="AA710" s="545"/>
      <c r="AB710" s="545"/>
      <c r="AC710" s="545"/>
    </row>
    <row r="711" spans="1:29" ht="12.75" customHeight="1">
      <c r="A711" s="545"/>
      <c r="B711" s="545"/>
      <c r="C711" s="545"/>
      <c r="D711" s="545"/>
      <c r="E711" s="545"/>
      <c r="F711" s="545"/>
      <c r="H711" s="545"/>
      <c r="I711" s="545"/>
      <c r="J711" s="545"/>
      <c r="K711" s="545"/>
      <c r="L711" s="545"/>
      <c r="M711" s="545"/>
      <c r="N711" s="545"/>
      <c r="O711" s="545"/>
      <c r="P711" s="545"/>
      <c r="Q711" s="545"/>
      <c r="R711" s="545"/>
      <c r="S711" s="545"/>
      <c r="W711" s="545"/>
      <c r="X711" s="545"/>
      <c r="Y711" s="545"/>
      <c r="Z711" s="545"/>
      <c r="AA711" s="545"/>
      <c r="AB711" s="545"/>
      <c r="AC711" s="545"/>
    </row>
    <row r="712" spans="1:29" ht="12.75" customHeight="1">
      <c r="A712" s="545"/>
      <c r="B712" s="545"/>
      <c r="C712" s="545"/>
      <c r="D712" s="545"/>
      <c r="E712" s="545"/>
      <c r="F712" s="545"/>
      <c r="H712" s="545"/>
      <c r="I712" s="545"/>
      <c r="J712" s="545"/>
      <c r="K712" s="545"/>
      <c r="L712" s="545"/>
      <c r="M712" s="545"/>
      <c r="N712" s="545"/>
      <c r="O712" s="545"/>
      <c r="P712" s="545"/>
      <c r="Q712" s="545"/>
      <c r="R712" s="545"/>
      <c r="S712" s="545"/>
      <c r="W712" s="545"/>
      <c r="X712" s="545"/>
      <c r="Y712" s="545"/>
      <c r="Z712" s="545"/>
      <c r="AA712" s="545"/>
      <c r="AB712" s="545"/>
      <c r="AC712" s="545"/>
    </row>
    <row r="713" spans="1:29" ht="12.75" customHeight="1">
      <c r="A713" s="545"/>
      <c r="B713" s="545"/>
      <c r="C713" s="545"/>
      <c r="D713" s="545"/>
      <c r="E713" s="545"/>
      <c r="F713" s="545"/>
      <c r="H713" s="545"/>
      <c r="I713" s="545"/>
      <c r="J713" s="545"/>
      <c r="K713" s="545"/>
      <c r="L713" s="545"/>
      <c r="M713" s="545"/>
      <c r="N713" s="545"/>
      <c r="O713" s="545"/>
      <c r="P713" s="545"/>
      <c r="Q713" s="545"/>
      <c r="R713" s="545"/>
      <c r="S713" s="545"/>
      <c r="W713" s="545"/>
      <c r="X713" s="545"/>
      <c r="Y713" s="545"/>
      <c r="Z713" s="545"/>
      <c r="AA713" s="545"/>
      <c r="AB713" s="545"/>
      <c r="AC713" s="545"/>
    </row>
    <row r="714" spans="1:29" ht="12.75" customHeight="1">
      <c r="A714" s="545"/>
      <c r="B714" s="545"/>
      <c r="C714" s="545"/>
      <c r="D714" s="545"/>
      <c r="E714" s="545"/>
      <c r="F714" s="545"/>
      <c r="H714" s="545"/>
      <c r="I714" s="545"/>
      <c r="J714" s="545"/>
      <c r="K714" s="545"/>
      <c r="L714" s="545"/>
      <c r="M714" s="545"/>
      <c r="N714" s="545"/>
      <c r="O714" s="545"/>
      <c r="P714" s="545"/>
      <c r="Q714" s="545"/>
      <c r="R714" s="545"/>
      <c r="S714" s="545"/>
      <c r="W714" s="545"/>
      <c r="X714" s="545"/>
      <c r="Y714" s="545"/>
      <c r="Z714" s="545"/>
      <c r="AA714" s="545"/>
      <c r="AB714" s="545"/>
      <c r="AC714" s="545"/>
    </row>
    <row r="715" spans="1:29" ht="12.75" customHeight="1">
      <c r="A715" s="545"/>
      <c r="B715" s="545"/>
      <c r="C715" s="545"/>
      <c r="D715" s="545"/>
      <c r="E715" s="545"/>
      <c r="F715" s="545"/>
      <c r="H715" s="545"/>
      <c r="I715" s="545"/>
      <c r="J715" s="545"/>
      <c r="K715" s="545"/>
      <c r="L715" s="545"/>
      <c r="M715" s="545"/>
      <c r="N715" s="545"/>
      <c r="O715" s="545"/>
      <c r="P715" s="545"/>
      <c r="Q715" s="545"/>
      <c r="R715" s="545"/>
      <c r="S715" s="545"/>
      <c r="W715" s="545"/>
      <c r="X715" s="545"/>
      <c r="Y715" s="545"/>
      <c r="Z715" s="545"/>
      <c r="AA715" s="545"/>
      <c r="AB715" s="545"/>
      <c r="AC715" s="545"/>
    </row>
    <row r="716" spans="1:29" ht="12.75" customHeight="1">
      <c r="A716" s="545"/>
      <c r="B716" s="545"/>
      <c r="C716" s="545"/>
      <c r="D716" s="545"/>
      <c r="E716" s="545"/>
      <c r="F716" s="545"/>
      <c r="H716" s="545"/>
      <c r="I716" s="545"/>
      <c r="J716" s="545"/>
      <c r="K716" s="545"/>
      <c r="L716" s="545"/>
      <c r="M716" s="545"/>
      <c r="N716" s="545"/>
      <c r="O716" s="545"/>
      <c r="P716" s="545"/>
      <c r="Q716" s="545"/>
      <c r="R716" s="545"/>
      <c r="S716" s="545"/>
      <c r="W716" s="545"/>
      <c r="X716" s="545"/>
      <c r="Y716" s="545"/>
      <c r="Z716" s="545"/>
      <c r="AA716" s="545"/>
      <c r="AB716" s="545"/>
      <c r="AC716" s="545"/>
    </row>
    <row r="717" spans="1:29" ht="12.75" customHeight="1">
      <c r="A717" s="545"/>
      <c r="B717" s="545"/>
      <c r="C717" s="545"/>
      <c r="D717" s="545"/>
      <c r="E717" s="545"/>
      <c r="F717" s="545"/>
      <c r="H717" s="545"/>
      <c r="I717" s="545"/>
      <c r="J717" s="545"/>
      <c r="K717" s="545"/>
      <c r="L717" s="545"/>
      <c r="M717" s="545"/>
      <c r="N717" s="545"/>
      <c r="O717" s="545"/>
      <c r="P717" s="545"/>
      <c r="Q717" s="545"/>
      <c r="R717" s="545"/>
      <c r="S717" s="545"/>
      <c r="W717" s="545"/>
      <c r="X717" s="545"/>
      <c r="Y717" s="545"/>
      <c r="Z717" s="545"/>
      <c r="AA717" s="545"/>
      <c r="AB717" s="545"/>
      <c r="AC717" s="545"/>
    </row>
    <row r="718" spans="1:29" ht="12.75" customHeight="1">
      <c r="A718" s="545"/>
      <c r="B718" s="545"/>
      <c r="C718" s="545"/>
      <c r="D718" s="545"/>
      <c r="E718" s="545"/>
      <c r="F718" s="545"/>
      <c r="H718" s="545"/>
      <c r="I718" s="545"/>
      <c r="J718" s="545"/>
      <c r="K718" s="545"/>
      <c r="L718" s="545"/>
      <c r="M718" s="545"/>
      <c r="N718" s="545"/>
      <c r="O718" s="545"/>
      <c r="P718" s="545"/>
      <c r="Q718" s="545"/>
      <c r="R718" s="545"/>
      <c r="S718" s="545"/>
      <c r="W718" s="545"/>
      <c r="X718" s="545"/>
      <c r="Y718" s="545"/>
      <c r="Z718" s="545"/>
      <c r="AA718" s="545"/>
      <c r="AB718" s="545"/>
      <c r="AC718" s="545"/>
    </row>
    <row r="719" spans="1:29" ht="12.75" customHeight="1">
      <c r="A719" s="545"/>
      <c r="B719" s="545"/>
      <c r="C719" s="545"/>
      <c r="D719" s="545"/>
      <c r="E719" s="545"/>
      <c r="F719" s="545"/>
      <c r="H719" s="545"/>
      <c r="I719" s="545"/>
      <c r="J719" s="545"/>
      <c r="K719" s="545"/>
      <c r="L719" s="545"/>
      <c r="M719" s="545"/>
      <c r="N719" s="545"/>
      <c r="O719" s="545"/>
      <c r="P719" s="545"/>
      <c r="Q719" s="545"/>
      <c r="R719" s="545"/>
      <c r="S719" s="545"/>
      <c r="W719" s="545"/>
      <c r="X719" s="545"/>
      <c r="Y719" s="545"/>
      <c r="Z719" s="545"/>
      <c r="AA719" s="545"/>
      <c r="AB719" s="545"/>
      <c r="AC719" s="545"/>
    </row>
    <row r="720" spans="1:29" ht="12.75" customHeight="1">
      <c r="A720" s="545"/>
      <c r="B720" s="545"/>
      <c r="C720" s="545"/>
      <c r="D720" s="545"/>
      <c r="E720" s="545"/>
      <c r="F720" s="545"/>
      <c r="H720" s="545"/>
      <c r="I720" s="545"/>
      <c r="J720" s="545"/>
      <c r="K720" s="545"/>
      <c r="L720" s="545"/>
      <c r="M720" s="545"/>
      <c r="N720" s="545"/>
      <c r="O720" s="545"/>
      <c r="P720" s="545"/>
      <c r="Q720" s="545"/>
      <c r="R720" s="545"/>
      <c r="S720" s="545"/>
      <c r="W720" s="545"/>
      <c r="X720" s="545"/>
      <c r="Y720" s="545"/>
      <c r="Z720" s="545"/>
      <c r="AA720" s="545"/>
      <c r="AB720" s="545"/>
      <c r="AC720" s="545"/>
    </row>
    <row r="721" spans="1:29" ht="12.75" customHeight="1">
      <c r="A721" s="545"/>
      <c r="B721" s="545"/>
      <c r="C721" s="545"/>
      <c r="D721" s="545"/>
      <c r="E721" s="545"/>
      <c r="F721" s="545"/>
      <c r="H721" s="545"/>
      <c r="I721" s="545"/>
      <c r="J721" s="545"/>
      <c r="K721" s="545"/>
      <c r="L721" s="545"/>
      <c r="M721" s="545"/>
      <c r="N721" s="545"/>
      <c r="O721" s="545"/>
      <c r="P721" s="545"/>
      <c r="Q721" s="545"/>
      <c r="R721" s="545"/>
      <c r="S721" s="545"/>
      <c r="W721" s="545"/>
      <c r="X721" s="545"/>
      <c r="Y721" s="545"/>
      <c r="Z721" s="545"/>
      <c r="AA721" s="545"/>
      <c r="AB721" s="545"/>
      <c r="AC721" s="545"/>
    </row>
    <row r="722" spans="1:29" ht="12.75" customHeight="1">
      <c r="A722" s="545"/>
      <c r="B722" s="545"/>
      <c r="C722" s="545"/>
      <c r="D722" s="545"/>
      <c r="E722" s="545"/>
      <c r="F722" s="545"/>
      <c r="H722" s="545"/>
      <c r="I722" s="545"/>
      <c r="J722" s="545"/>
      <c r="K722" s="545"/>
      <c r="L722" s="545"/>
      <c r="M722" s="545"/>
      <c r="N722" s="545"/>
      <c r="O722" s="545"/>
      <c r="P722" s="545"/>
      <c r="Q722" s="545"/>
      <c r="R722" s="545"/>
      <c r="S722" s="545"/>
      <c r="W722" s="545"/>
      <c r="X722" s="545"/>
      <c r="Y722" s="545"/>
      <c r="Z722" s="545"/>
      <c r="AA722" s="545"/>
      <c r="AB722" s="545"/>
      <c r="AC722" s="545"/>
    </row>
    <row r="723" spans="1:29" ht="12.75" customHeight="1">
      <c r="A723" s="545"/>
      <c r="B723" s="545"/>
      <c r="C723" s="545"/>
      <c r="D723" s="545"/>
      <c r="E723" s="545"/>
      <c r="F723" s="545"/>
      <c r="H723" s="545"/>
      <c r="I723" s="545"/>
      <c r="J723" s="545"/>
      <c r="K723" s="545"/>
      <c r="L723" s="545"/>
      <c r="M723" s="545"/>
      <c r="N723" s="545"/>
      <c r="O723" s="545"/>
      <c r="P723" s="545"/>
      <c r="Q723" s="545"/>
      <c r="R723" s="545"/>
      <c r="S723" s="545"/>
      <c r="W723" s="545"/>
      <c r="X723" s="545"/>
      <c r="Y723" s="545"/>
      <c r="Z723" s="545"/>
      <c r="AA723" s="545"/>
      <c r="AB723" s="545"/>
      <c r="AC723" s="545"/>
    </row>
    <row r="724" spans="1:29" ht="12.75" customHeight="1">
      <c r="A724" s="545"/>
      <c r="B724" s="545"/>
      <c r="C724" s="545"/>
      <c r="D724" s="545"/>
      <c r="E724" s="545"/>
      <c r="F724" s="545"/>
      <c r="H724" s="545"/>
      <c r="I724" s="545"/>
      <c r="J724" s="545"/>
      <c r="K724" s="545"/>
      <c r="L724" s="545"/>
      <c r="M724" s="545"/>
      <c r="N724" s="545"/>
      <c r="O724" s="545"/>
      <c r="P724" s="545"/>
      <c r="Q724" s="545"/>
      <c r="R724" s="545"/>
      <c r="S724" s="545"/>
      <c r="W724" s="545"/>
      <c r="X724" s="545"/>
      <c r="Y724" s="545"/>
      <c r="Z724" s="545"/>
      <c r="AA724" s="545"/>
      <c r="AB724" s="545"/>
      <c r="AC724" s="545"/>
    </row>
    <row r="725" spans="1:29" ht="12.75" customHeight="1">
      <c r="A725" s="545"/>
      <c r="B725" s="545"/>
      <c r="C725" s="545"/>
      <c r="D725" s="545"/>
      <c r="E725" s="545"/>
      <c r="F725" s="545"/>
      <c r="H725" s="545"/>
      <c r="I725" s="545"/>
      <c r="J725" s="545"/>
      <c r="K725" s="545"/>
      <c r="L725" s="545"/>
      <c r="M725" s="545"/>
      <c r="N725" s="545"/>
      <c r="O725" s="545"/>
      <c r="P725" s="545"/>
      <c r="Q725" s="545"/>
      <c r="R725" s="545"/>
      <c r="S725" s="545"/>
      <c r="W725" s="545"/>
      <c r="X725" s="545"/>
      <c r="Y725" s="545"/>
      <c r="Z725" s="545"/>
      <c r="AA725" s="545"/>
      <c r="AB725" s="545"/>
      <c r="AC725" s="545"/>
    </row>
    <row r="726" spans="1:29" ht="12.75" customHeight="1">
      <c r="A726" s="545"/>
      <c r="B726" s="545"/>
      <c r="C726" s="545"/>
      <c r="D726" s="545"/>
      <c r="E726" s="545"/>
      <c r="F726" s="545"/>
      <c r="H726" s="545"/>
      <c r="I726" s="545"/>
      <c r="J726" s="545"/>
      <c r="K726" s="545"/>
      <c r="L726" s="545"/>
      <c r="M726" s="545"/>
      <c r="N726" s="545"/>
      <c r="O726" s="545"/>
      <c r="P726" s="545"/>
      <c r="Q726" s="545"/>
      <c r="R726" s="545"/>
      <c r="S726" s="545"/>
      <c r="W726" s="545"/>
      <c r="X726" s="545"/>
      <c r="Y726" s="545"/>
      <c r="Z726" s="545"/>
      <c r="AA726" s="545"/>
      <c r="AB726" s="545"/>
      <c r="AC726" s="545"/>
    </row>
    <row r="727" spans="1:29" ht="12.75" customHeight="1">
      <c r="A727" s="545"/>
      <c r="B727" s="545"/>
      <c r="C727" s="545"/>
      <c r="D727" s="545"/>
      <c r="E727" s="545"/>
      <c r="F727" s="545"/>
      <c r="H727" s="545"/>
      <c r="I727" s="545"/>
      <c r="J727" s="545"/>
      <c r="K727" s="545"/>
      <c r="L727" s="545"/>
      <c r="M727" s="545"/>
      <c r="N727" s="545"/>
      <c r="O727" s="545"/>
      <c r="P727" s="545"/>
      <c r="Q727" s="545"/>
      <c r="R727" s="545"/>
      <c r="S727" s="545"/>
      <c r="W727" s="545"/>
      <c r="X727" s="545"/>
      <c r="Y727" s="545"/>
      <c r="Z727" s="545"/>
      <c r="AA727" s="545"/>
      <c r="AB727" s="545"/>
      <c r="AC727" s="545"/>
    </row>
    <row r="728" spans="1:29" ht="12.75" customHeight="1">
      <c r="A728" s="545"/>
      <c r="B728" s="545"/>
      <c r="C728" s="545"/>
      <c r="D728" s="545"/>
      <c r="E728" s="545"/>
      <c r="F728" s="545"/>
      <c r="H728" s="545"/>
      <c r="I728" s="545"/>
      <c r="J728" s="545"/>
      <c r="K728" s="545"/>
      <c r="L728" s="545"/>
      <c r="M728" s="545"/>
      <c r="N728" s="545"/>
      <c r="O728" s="545"/>
      <c r="P728" s="545"/>
      <c r="Q728" s="545"/>
      <c r="R728" s="545"/>
      <c r="S728" s="545"/>
      <c r="W728" s="545"/>
      <c r="X728" s="545"/>
      <c r="Y728" s="545"/>
      <c r="Z728" s="545"/>
      <c r="AA728" s="545"/>
      <c r="AB728" s="545"/>
      <c r="AC728" s="545"/>
    </row>
    <row r="729" spans="1:29" ht="12.75" customHeight="1">
      <c r="A729" s="545"/>
      <c r="B729" s="545"/>
      <c r="C729" s="545"/>
      <c r="D729" s="545"/>
      <c r="E729" s="545"/>
      <c r="F729" s="545"/>
      <c r="H729" s="545"/>
      <c r="I729" s="545"/>
      <c r="J729" s="545"/>
      <c r="K729" s="545"/>
      <c r="L729" s="545"/>
      <c r="M729" s="545"/>
      <c r="N729" s="545"/>
      <c r="O729" s="545"/>
      <c r="P729" s="545"/>
      <c r="Q729" s="545"/>
      <c r="R729" s="545"/>
      <c r="S729" s="545"/>
      <c r="W729" s="545"/>
      <c r="X729" s="545"/>
      <c r="Y729" s="545"/>
      <c r="Z729" s="545"/>
      <c r="AA729" s="545"/>
      <c r="AB729" s="545"/>
      <c r="AC729" s="545"/>
    </row>
    <row r="730" spans="1:29" ht="12.75" customHeight="1">
      <c r="A730" s="545"/>
      <c r="B730" s="545"/>
      <c r="C730" s="545"/>
      <c r="D730" s="545"/>
      <c r="E730" s="545"/>
      <c r="F730" s="545"/>
      <c r="H730" s="545"/>
      <c r="I730" s="545"/>
      <c r="J730" s="545"/>
      <c r="K730" s="545"/>
      <c r="L730" s="545"/>
      <c r="M730" s="545"/>
      <c r="N730" s="545"/>
      <c r="O730" s="545"/>
      <c r="P730" s="545"/>
      <c r="Q730" s="545"/>
      <c r="R730" s="545"/>
      <c r="S730" s="545"/>
      <c r="W730" s="545"/>
      <c r="X730" s="545"/>
      <c r="Y730" s="545"/>
      <c r="Z730" s="545"/>
      <c r="AA730" s="545"/>
      <c r="AB730" s="545"/>
      <c r="AC730" s="545"/>
    </row>
    <row r="731" spans="1:29" ht="12.75" customHeight="1">
      <c r="A731" s="545"/>
      <c r="B731" s="545"/>
      <c r="C731" s="545"/>
      <c r="D731" s="545"/>
      <c r="E731" s="545"/>
      <c r="F731" s="545"/>
      <c r="H731" s="545"/>
      <c r="I731" s="545"/>
      <c r="J731" s="545"/>
      <c r="K731" s="545"/>
      <c r="L731" s="545"/>
      <c r="M731" s="545"/>
      <c r="N731" s="545"/>
      <c r="O731" s="545"/>
      <c r="P731" s="545"/>
      <c r="Q731" s="545"/>
      <c r="R731" s="545"/>
      <c r="S731" s="545"/>
      <c r="W731" s="545"/>
      <c r="X731" s="545"/>
      <c r="Y731" s="545"/>
      <c r="Z731" s="545"/>
      <c r="AA731" s="545"/>
      <c r="AB731" s="545"/>
      <c r="AC731" s="545"/>
    </row>
    <row r="732" spans="1:29" ht="12.75" customHeight="1">
      <c r="A732" s="545"/>
      <c r="B732" s="545"/>
      <c r="C732" s="545"/>
      <c r="D732" s="545"/>
      <c r="E732" s="545"/>
      <c r="F732" s="545"/>
      <c r="H732" s="545"/>
      <c r="I732" s="545"/>
      <c r="J732" s="545"/>
      <c r="K732" s="545"/>
      <c r="L732" s="545"/>
      <c r="M732" s="545"/>
      <c r="N732" s="545"/>
      <c r="O732" s="545"/>
      <c r="P732" s="545"/>
      <c r="Q732" s="545"/>
      <c r="R732" s="545"/>
      <c r="S732" s="545"/>
      <c r="W732" s="545"/>
      <c r="X732" s="545"/>
      <c r="Y732" s="545"/>
      <c r="Z732" s="545"/>
      <c r="AA732" s="545"/>
      <c r="AB732" s="545"/>
      <c r="AC732" s="545"/>
    </row>
    <row r="733" spans="1:29" ht="12.75" customHeight="1">
      <c r="A733" s="545"/>
      <c r="B733" s="545"/>
      <c r="C733" s="545"/>
      <c r="D733" s="545"/>
      <c r="E733" s="545"/>
      <c r="F733" s="545"/>
      <c r="H733" s="545"/>
      <c r="I733" s="545"/>
      <c r="J733" s="545"/>
      <c r="K733" s="545"/>
      <c r="L733" s="545"/>
      <c r="M733" s="545"/>
      <c r="N733" s="545"/>
      <c r="O733" s="545"/>
      <c r="P733" s="545"/>
      <c r="Q733" s="545"/>
      <c r="R733" s="545"/>
      <c r="S733" s="545"/>
      <c r="W733" s="545"/>
      <c r="X733" s="545"/>
      <c r="Y733" s="545"/>
      <c r="Z733" s="545"/>
      <c r="AA733" s="545"/>
      <c r="AB733" s="545"/>
      <c r="AC733" s="545"/>
    </row>
    <row r="734" spans="1:29" ht="12.75" customHeight="1">
      <c r="A734" s="545"/>
      <c r="B734" s="545"/>
      <c r="C734" s="545"/>
      <c r="D734" s="545"/>
      <c r="E734" s="545"/>
      <c r="F734" s="545"/>
      <c r="H734" s="545"/>
      <c r="I734" s="545"/>
      <c r="J734" s="545"/>
      <c r="K734" s="545"/>
      <c r="L734" s="545"/>
      <c r="M734" s="545"/>
      <c r="N734" s="545"/>
      <c r="O734" s="545"/>
      <c r="P734" s="545"/>
      <c r="Q734" s="545"/>
      <c r="R734" s="545"/>
      <c r="S734" s="545"/>
      <c r="W734" s="545"/>
      <c r="X734" s="545"/>
      <c r="Y734" s="545"/>
      <c r="Z734" s="545"/>
      <c r="AA734" s="545"/>
      <c r="AB734" s="545"/>
      <c r="AC734" s="545"/>
    </row>
    <row r="735" spans="1:29" ht="12.75" customHeight="1">
      <c r="A735" s="545"/>
      <c r="B735" s="545"/>
      <c r="C735" s="545"/>
      <c r="D735" s="545"/>
      <c r="E735" s="545"/>
      <c r="F735" s="545"/>
      <c r="H735" s="545"/>
      <c r="I735" s="545"/>
      <c r="J735" s="545"/>
      <c r="K735" s="545"/>
      <c r="L735" s="545"/>
      <c r="M735" s="545"/>
      <c r="N735" s="545"/>
      <c r="O735" s="545"/>
      <c r="P735" s="545"/>
      <c r="Q735" s="545"/>
      <c r="R735" s="545"/>
      <c r="S735" s="545"/>
      <c r="W735" s="545"/>
      <c r="X735" s="545"/>
      <c r="Y735" s="545"/>
      <c r="Z735" s="545"/>
      <c r="AA735" s="545"/>
      <c r="AB735" s="545"/>
      <c r="AC735" s="545"/>
    </row>
    <row r="736" spans="1:29" ht="12.75" customHeight="1">
      <c r="A736" s="545"/>
      <c r="B736" s="545"/>
      <c r="C736" s="545"/>
      <c r="D736" s="545"/>
      <c r="E736" s="545"/>
      <c r="F736" s="545"/>
      <c r="H736" s="545"/>
      <c r="I736" s="545"/>
      <c r="J736" s="545"/>
      <c r="K736" s="545"/>
      <c r="L736" s="545"/>
      <c r="M736" s="545"/>
      <c r="N736" s="545"/>
      <c r="O736" s="545"/>
      <c r="P736" s="545"/>
      <c r="Q736" s="545"/>
      <c r="R736" s="545"/>
      <c r="S736" s="545"/>
      <c r="W736" s="545"/>
      <c r="X736" s="545"/>
      <c r="Y736" s="545"/>
      <c r="Z736" s="545"/>
      <c r="AA736" s="545"/>
      <c r="AB736" s="545"/>
      <c r="AC736" s="545"/>
    </row>
    <row r="737" spans="1:29" ht="12.75" customHeight="1">
      <c r="A737" s="545"/>
      <c r="B737" s="545"/>
      <c r="C737" s="545"/>
      <c r="D737" s="545"/>
      <c r="E737" s="545"/>
      <c r="F737" s="545"/>
      <c r="H737" s="545"/>
      <c r="I737" s="545"/>
      <c r="J737" s="545"/>
      <c r="K737" s="545"/>
      <c r="L737" s="545"/>
      <c r="M737" s="545"/>
      <c r="N737" s="545"/>
      <c r="O737" s="545"/>
      <c r="P737" s="545"/>
      <c r="Q737" s="545"/>
      <c r="R737" s="545"/>
      <c r="S737" s="545"/>
      <c r="W737" s="545"/>
      <c r="X737" s="545"/>
      <c r="Y737" s="545"/>
      <c r="Z737" s="545"/>
      <c r="AA737" s="545"/>
      <c r="AB737" s="545"/>
      <c r="AC737" s="545"/>
    </row>
    <row r="738" spans="1:29" ht="12.75" customHeight="1">
      <c r="A738" s="545"/>
      <c r="B738" s="545"/>
      <c r="C738" s="545"/>
      <c r="D738" s="545"/>
      <c r="E738" s="545"/>
      <c r="F738" s="545"/>
      <c r="H738" s="545"/>
      <c r="I738" s="545"/>
      <c r="J738" s="545"/>
      <c r="K738" s="545"/>
      <c r="L738" s="545"/>
      <c r="M738" s="545"/>
      <c r="N738" s="545"/>
      <c r="O738" s="545"/>
      <c r="P738" s="545"/>
      <c r="Q738" s="545"/>
      <c r="R738" s="545"/>
      <c r="S738" s="545"/>
      <c r="W738" s="545"/>
      <c r="X738" s="545"/>
      <c r="Y738" s="545"/>
      <c r="Z738" s="545"/>
      <c r="AA738" s="545"/>
      <c r="AB738" s="545"/>
      <c r="AC738" s="545"/>
    </row>
    <row r="739" spans="1:29" ht="12.75" customHeight="1">
      <c r="A739" s="545"/>
      <c r="B739" s="545"/>
      <c r="C739" s="545"/>
      <c r="D739" s="545"/>
      <c r="E739" s="545"/>
      <c r="F739" s="545"/>
      <c r="H739" s="545"/>
      <c r="I739" s="545"/>
      <c r="J739" s="545"/>
      <c r="K739" s="545"/>
      <c r="L739" s="545"/>
      <c r="M739" s="545"/>
      <c r="N739" s="545"/>
      <c r="O739" s="545"/>
      <c r="P739" s="545"/>
      <c r="Q739" s="545"/>
      <c r="R739" s="545"/>
      <c r="S739" s="545"/>
      <c r="W739" s="545"/>
      <c r="X739" s="545"/>
      <c r="Y739" s="545"/>
      <c r="Z739" s="545"/>
      <c r="AA739" s="545"/>
      <c r="AB739" s="545"/>
      <c r="AC739" s="545"/>
    </row>
    <row r="740" spans="1:29" ht="12.75" customHeight="1">
      <c r="A740" s="545"/>
      <c r="B740" s="545"/>
      <c r="C740" s="545"/>
      <c r="D740" s="545"/>
      <c r="E740" s="545"/>
      <c r="F740" s="545"/>
      <c r="H740" s="545"/>
      <c r="I740" s="545"/>
      <c r="J740" s="545"/>
      <c r="K740" s="545"/>
      <c r="L740" s="545"/>
      <c r="M740" s="545"/>
      <c r="N740" s="545"/>
      <c r="O740" s="545"/>
      <c r="P740" s="545"/>
      <c r="Q740" s="545"/>
      <c r="R740" s="545"/>
      <c r="S740" s="545"/>
      <c r="W740" s="545"/>
      <c r="X740" s="545"/>
      <c r="Y740" s="545"/>
      <c r="Z740" s="545"/>
      <c r="AA740" s="545"/>
      <c r="AB740" s="545"/>
      <c r="AC740" s="545"/>
    </row>
    <row r="741" spans="1:29" ht="12.75" customHeight="1">
      <c r="A741" s="545"/>
      <c r="B741" s="545"/>
      <c r="C741" s="545"/>
      <c r="D741" s="545"/>
      <c r="E741" s="545"/>
      <c r="F741" s="545"/>
      <c r="H741" s="545"/>
      <c r="I741" s="545"/>
      <c r="J741" s="545"/>
      <c r="K741" s="545"/>
      <c r="L741" s="545"/>
      <c r="M741" s="545"/>
      <c r="N741" s="545"/>
      <c r="O741" s="545"/>
      <c r="P741" s="545"/>
      <c r="Q741" s="545"/>
      <c r="R741" s="545"/>
      <c r="S741" s="545"/>
      <c r="W741" s="545"/>
      <c r="X741" s="545"/>
      <c r="Y741" s="545"/>
      <c r="Z741" s="545"/>
      <c r="AA741" s="545"/>
      <c r="AB741" s="545"/>
      <c r="AC741" s="545"/>
    </row>
    <row r="742" spans="1:29" ht="12.75" customHeight="1">
      <c r="A742" s="545"/>
      <c r="B742" s="545"/>
      <c r="C742" s="545"/>
      <c r="D742" s="545"/>
      <c r="E742" s="545"/>
      <c r="F742" s="545"/>
      <c r="H742" s="545"/>
      <c r="I742" s="545"/>
      <c r="J742" s="545"/>
      <c r="K742" s="545"/>
      <c r="L742" s="545"/>
      <c r="M742" s="545"/>
      <c r="N742" s="545"/>
      <c r="O742" s="545"/>
      <c r="P742" s="545"/>
      <c r="Q742" s="545"/>
      <c r="R742" s="545"/>
      <c r="S742" s="545"/>
      <c r="W742" s="545"/>
      <c r="X742" s="545"/>
      <c r="Y742" s="545"/>
      <c r="Z742" s="545"/>
      <c r="AA742" s="545"/>
      <c r="AB742" s="545"/>
      <c r="AC742" s="545"/>
    </row>
    <row r="743" spans="1:29" ht="12.75" customHeight="1">
      <c r="A743" s="545"/>
      <c r="B743" s="545"/>
      <c r="C743" s="545"/>
      <c r="D743" s="545"/>
      <c r="E743" s="545"/>
      <c r="F743" s="545"/>
      <c r="H743" s="545"/>
      <c r="I743" s="545"/>
      <c r="J743" s="545"/>
      <c r="K743" s="545"/>
      <c r="L743" s="545"/>
      <c r="M743" s="545"/>
      <c r="N743" s="545"/>
      <c r="O743" s="545"/>
      <c r="P743" s="545"/>
      <c r="Q743" s="545"/>
      <c r="R743" s="545"/>
      <c r="S743" s="545"/>
      <c r="W743" s="545"/>
      <c r="X743" s="545"/>
      <c r="Y743" s="545"/>
      <c r="Z743" s="545"/>
      <c r="AA743" s="545"/>
      <c r="AB743" s="545"/>
      <c r="AC743" s="545"/>
    </row>
    <row r="744" spans="1:29" ht="12.75" customHeight="1">
      <c r="A744" s="545"/>
      <c r="B744" s="545"/>
      <c r="C744" s="545"/>
      <c r="D744" s="545"/>
      <c r="E744" s="545"/>
      <c r="F744" s="545"/>
      <c r="H744" s="545"/>
      <c r="I744" s="545"/>
      <c r="J744" s="545"/>
      <c r="K744" s="545"/>
      <c r="L744" s="545"/>
      <c r="M744" s="545"/>
      <c r="N744" s="545"/>
      <c r="O744" s="545"/>
      <c r="P744" s="545"/>
      <c r="Q744" s="545"/>
      <c r="R744" s="545"/>
      <c r="S744" s="545"/>
      <c r="W744" s="545"/>
      <c r="X744" s="545"/>
      <c r="Y744" s="545"/>
      <c r="Z744" s="545"/>
      <c r="AA744" s="545"/>
      <c r="AB744" s="545"/>
      <c r="AC744" s="545"/>
    </row>
    <row r="745" spans="1:29" ht="12.75" customHeight="1">
      <c r="A745" s="545"/>
      <c r="B745" s="545"/>
      <c r="C745" s="545"/>
      <c r="D745" s="545"/>
      <c r="E745" s="545"/>
      <c r="F745" s="545"/>
      <c r="H745" s="545"/>
      <c r="I745" s="545"/>
      <c r="J745" s="545"/>
      <c r="K745" s="545"/>
      <c r="L745" s="545"/>
      <c r="M745" s="545"/>
      <c r="N745" s="545"/>
      <c r="O745" s="545"/>
      <c r="P745" s="545"/>
      <c r="Q745" s="545"/>
      <c r="R745" s="545"/>
      <c r="S745" s="545"/>
      <c r="W745" s="545"/>
      <c r="X745" s="545"/>
      <c r="Y745" s="545"/>
      <c r="Z745" s="545"/>
      <c r="AA745" s="545"/>
      <c r="AB745" s="545"/>
      <c r="AC745" s="545"/>
    </row>
    <row r="746" spans="1:29" ht="12.75" customHeight="1">
      <c r="A746" s="545"/>
      <c r="B746" s="545"/>
      <c r="C746" s="545"/>
      <c r="D746" s="545"/>
      <c r="E746" s="545"/>
      <c r="F746" s="545"/>
      <c r="H746" s="545"/>
      <c r="I746" s="545"/>
      <c r="J746" s="545"/>
      <c r="K746" s="545"/>
      <c r="L746" s="545"/>
      <c r="M746" s="545"/>
      <c r="N746" s="545"/>
      <c r="O746" s="545"/>
      <c r="P746" s="545"/>
      <c r="Q746" s="545"/>
      <c r="R746" s="545"/>
      <c r="S746" s="545"/>
      <c r="W746" s="545"/>
      <c r="X746" s="545"/>
      <c r="Y746" s="545"/>
      <c r="Z746" s="545"/>
      <c r="AA746" s="545"/>
      <c r="AB746" s="545"/>
      <c r="AC746" s="545"/>
    </row>
    <row r="747" spans="1:29" ht="12.75" customHeight="1">
      <c r="A747" s="545"/>
      <c r="B747" s="545"/>
      <c r="C747" s="545"/>
      <c r="D747" s="545"/>
      <c r="E747" s="545"/>
      <c r="F747" s="545"/>
      <c r="H747" s="545"/>
      <c r="I747" s="545"/>
      <c r="J747" s="545"/>
      <c r="K747" s="545"/>
      <c r="L747" s="545"/>
      <c r="M747" s="545"/>
      <c r="N747" s="545"/>
      <c r="O747" s="545"/>
      <c r="P747" s="545"/>
      <c r="Q747" s="545"/>
      <c r="R747" s="545"/>
      <c r="S747" s="545"/>
      <c r="W747" s="545"/>
      <c r="X747" s="545"/>
      <c r="Y747" s="545"/>
      <c r="Z747" s="545"/>
      <c r="AA747" s="545"/>
      <c r="AB747" s="545"/>
      <c r="AC747" s="545"/>
    </row>
    <row r="748" spans="1:29" ht="12.75" customHeight="1">
      <c r="A748" s="545"/>
      <c r="B748" s="545"/>
      <c r="C748" s="545"/>
      <c r="D748" s="545"/>
      <c r="E748" s="545"/>
      <c r="F748" s="545"/>
      <c r="H748" s="545"/>
      <c r="I748" s="545"/>
      <c r="J748" s="545"/>
      <c r="K748" s="545"/>
      <c r="L748" s="545"/>
      <c r="M748" s="545"/>
      <c r="N748" s="545"/>
      <c r="O748" s="545"/>
      <c r="P748" s="545"/>
      <c r="Q748" s="545"/>
      <c r="R748" s="545"/>
      <c r="S748" s="545"/>
      <c r="W748" s="545"/>
      <c r="X748" s="545"/>
      <c r="Y748" s="545"/>
      <c r="Z748" s="545"/>
      <c r="AA748" s="545"/>
      <c r="AB748" s="545"/>
      <c r="AC748" s="545"/>
    </row>
    <row r="749" spans="1:29" ht="12.75" customHeight="1">
      <c r="A749" s="545"/>
      <c r="B749" s="545"/>
      <c r="C749" s="545"/>
      <c r="D749" s="545"/>
      <c r="E749" s="545"/>
      <c r="F749" s="545"/>
      <c r="H749" s="545"/>
      <c r="I749" s="545"/>
      <c r="J749" s="545"/>
      <c r="K749" s="545"/>
      <c r="L749" s="545"/>
      <c r="M749" s="545"/>
      <c r="N749" s="545"/>
      <c r="O749" s="545"/>
      <c r="P749" s="545"/>
      <c r="Q749" s="545"/>
      <c r="R749" s="545"/>
      <c r="S749" s="545"/>
      <c r="W749" s="545"/>
      <c r="X749" s="545"/>
      <c r="Y749" s="545"/>
      <c r="Z749" s="545"/>
      <c r="AA749" s="545"/>
      <c r="AB749" s="545"/>
      <c r="AC749" s="545"/>
    </row>
    <row r="750" spans="1:29" ht="12.75" customHeight="1">
      <c r="A750" s="545"/>
      <c r="B750" s="545"/>
      <c r="C750" s="545"/>
      <c r="D750" s="545"/>
      <c r="E750" s="545"/>
      <c r="F750" s="545"/>
      <c r="H750" s="545"/>
      <c r="I750" s="545"/>
      <c r="J750" s="545"/>
      <c r="K750" s="545"/>
      <c r="L750" s="545"/>
      <c r="M750" s="545"/>
      <c r="N750" s="545"/>
      <c r="O750" s="545"/>
      <c r="P750" s="545"/>
      <c r="Q750" s="545"/>
      <c r="R750" s="545"/>
      <c r="S750" s="545"/>
      <c r="W750" s="545"/>
      <c r="X750" s="545"/>
      <c r="Y750" s="545"/>
      <c r="Z750" s="545"/>
      <c r="AA750" s="545"/>
      <c r="AB750" s="545"/>
      <c r="AC750" s="545"/>
    </row>
    <row r="751" spans="1:29" ht="12.75" customHeight="1">
      <c r="A751" s="545"/>
      <c r="B751" s="545"/>
      <c r="C751" s="545"/>
      <c r="D751" s="545"/>
      <c r="E751" s="545"/>
      <c r="F751" s="545"/>
      <c r="H751" s="545"/>
      <c r="I751" s="545"/>
      <c r="J751" s="545"/>
      <c r="K751" s="545"/>
      <c r="L751" s="545"/>
      <c r="M751" s="545"/>
      <c r="N751" s="545"/>
      <c r="O751" s="545"/>
      <c r="P751" s="545"/>
      <c r="Q751" s="545"/>
      <c r="R751" s="545"/>
      <c r="S751" s="545"/>
      <c r="W751" s="545"/>
      <c r="X751" s="545"/>
      <c r="Y751" s="545"/>
      <c r="Z751" s="545"/>
      <c r="AA751" s="545"/>
      <c r="AB751" s="545"/>
      <c r="AC751" s="545"/>
    </row>
    <row r="752" spans="1:29" ht="12.75" customHeight="1">
      <c r="A752" s="545"/>
      <c r="B752" s="545"/>
      <c r="C752" s="545"/>
      <c r="D752" s="545"/>
      <c r="E752" s="545"/>
      <c r="F752" s="545"/>
      <c r="H752" s="545"/>
      <c r="I752" s="545"/>
      <c r="J752" s="545"/>
      <c r="K752" s="545"/>
      <c r="L752" s="545"/>
      <c r="M752" s="545"/>
      <c r="N752" s="545"/>
      <c r="O752" s="545"/>
      <c r="P752" s="545"/>
      <c r="Q752" s="545"/>
      <c r="R752" s="545"/>
      <c r="S752" s="545"/>
      <c r="W752" s="545"/>
      <c r="X752" s="545"/>
      <c r="Y752" s="545"/>
      <c r="Z752" s="545"/>
      <c r="AA752" s="545"/>
      <c r="AB752" s="545"/>
      <c r="AC752" s="545"/>
    </row>
    <row r="753" spans="1:29" ht="12.75" customHeight="1">
      <c r="A753" s="545"/>
      <c r="B753" s="545"/>
      <c r="C753" s="545"/>
      <c r="D753" s="545"/>
      <c r="E753" s="545"/>
      <c r="F753" s="545"/>
      <c r="H753" s="545"/>
      <c r="I753" s="545"/>
      <c r="J753" s="545"/>
      <c r="K753" s="545"/>
      <c r="L753" s="545"/>
      <c r="M753" s="545"/>
      <c r="N753" s="545"/>
      <c r="O753" s="545"/>
      <c r="P753" s="545"/>
      <c r="Q753" s="545"/>
      <c r="R753" s="545"/>
      <c r="S753" s="545"/>
      <c r="W753" s="545"/>
      <c r="X753" s="545"/>
      <c r="Y753" s="545"/>
      <c r="Z753" s="545"/>
      <c r="AA753" s="545"/>
      <c r="AB753" s="545"/>
      <c r="AC753" s="545"/>
    </row>
    <row r="754" spans="1:29" ht="12.75" customHeight="1">
      <c r="A754" s="545"/>
      <c r="B754" s="545"/>
      <c r="C754" s="545"/>
      <c r="D754" s="545"/>
      <c r="E754" s="545"/>
      <c r="F754" s="545"/>
      <c r="H754" s="545"/>
      <c r="I754" s="545"/>
      <c r="J754" s="545"/>
      <c r="K754" s="545"/>
      <c r="L754" s="545"/>
      <c r="M754" s="545"/>
      <c r="N754" s="545"/>
      <c r="O754" s="545"/>
      <c r="P754" s="545"/>
      <c r="Q754" s="545"/>
      <c r="R754" s="545"/>
      <c r="S754" s="545"/>
      <c r="W754" s="545"/>
      <c r="X754" s="545"/>
      <c r="Y754" s="545"/>
      <c r="Z754" s="545"/>
      <c r="AA754" s="545"/>
      <c r="AB754" s="545"/>
      <c r="AC754" s="545"/>
    </row>
    <row r="755" spans="1:29" ht="12.75" customHeight="1">
      <c r="A755" s="545"/>
      <c r="B755" s="545"/>
      <c r="C755" s="545"/>
      <c r="D755" s="545"/>
      <c r="E755" s="545"/>
      <c r="F755" s="545"/>
      <c r="H755" s="545"/>
      <c r="I755" s="545"/>
      <c r="J755" s="545"/>
      <c r="K755" s="545"/>
      <c r="L755" s="545"/>
      <c r="M755" s="545"/>
      <c r="N755" s="545"/>
      <c r="O755" s="545"/>
      <c r="P755" s="545"/>
      <c r="Q755" s="545"/>
      <c r="R755" s="545"/>
      <c r="S755" s="545"/>
      <c r="W755" s="545"/>
      <c r="X755" s="545"/>
      <c r="Y755" s="545"/>
      <c r="Z755" s="545"/>
      <c r="AA755" s="545"/>
      <c r="AB755" s="545"/>
      <c r="AC755" s="545"/>
    </row>
    <row r="756" spans="1:29" ht="12.75" customHeight="1">
      <c r="A756" s="545"/>
      <c r="B756" s="545"/>
      <c r="C756" s="545"/>
      <c r="D756" s="545"/>
      <c r="E756" s="545"/>
      <c r="F756" s="545"/>
      <c r="H756" s="545"/>
      <c r="I756" s="545"/>
      <c r="J756" s="545"/>
      <c r="K756" s="545"/>
      <c r="L756" s="545"/>
      <c r="M756" s="545"/>
      <c r="N756" s="545"/>
      <c r="O756" s="545"/>
      <c r="P756" s="545"/>
      <c r="Q756" s="545"/>
      <c r="R756" s="545"/>
      <c r="S756" s="545"/>
      <c r="W756" s="545"/>
      <c r="X756" s="545"/>
      <c r="Y756" s="545"/>
      <c r="Z756" s="545"/>
      <c r="AA756" s="545"/>
      <c r="AB756" s="545"/>
      <c r="AC756" s="545"/>
    </row>
    <row r="757" spans="1:29" ht="12.75" customHeight="1">
      <c r="A757" s="545"/>
      <c r="B757" s="545"/>
      <c r="C757" s="545"/>
      <c r="D757" s="545"/>
      <c r="E757" s="545"/>
      <c r="F757" s="545"/>
      <c r="H757" s="545"/>
      <c r="I757" s="545"/>
      <c r="J757" s="545"/>
      <c r="K757" s="545"/>
      <c r="L757" s="545"/>
      <c r="M757" s="545"/>
      <c r="N757" s="545"/>
      <c r="O757" s="545"/>
      <c r="P757" s="545"/>
      <c r="Q757" s="545"/>
      <c r="R757" s="545"/>
      <c r="S757" s="545"/>
      <c r="W757" s="545"/>
      <c r="X757" s="545"/>
      <c r="Y757" s="545"/>
      <c r="Z757" s="545"/>
      <c r="AA757" s="545"/>
      <c r="AB757" s="545"/>
      <c r="AC757" s="545"/>
    </row>
    <row r="758" spans="1:29" ht="12.75" customHeight="1">
      <c r="A758" s="545"/>
      <c r="B758" s="545"/>
      <c r="C758" s="545"/>
      <c r="D758" s="545"/>
      <c r="E758" s="545"/>
      <c r="F758" s="545"/>
      <c r="H758" s="545"/>
      <c r="I758" s="545"/>
      <c r="J758" s="545"/>
      <c r="K758" s="545"/>
      <c r="L758" s="545"/>
      <c r="M758" s="545"/>
      <c r="N758" s="545"/>
      <c r="O758" s="545"/>
      <c r="P758" s="545"/>
      <c r="Q758" s="545"/>
      <c r="R758" s="545"/>
      <c r="S758" s="545"/>
      <c r="W758" s="545"/>
      <c r="X758" s="545"/>
      <c r="Y758" s="545"/>
      <c r="Z758" s="545"/>
      <c r="AA758" s="545"/>
      <c r="AB758" s="545"/>
      <c r="AC758" s="545"/>
    </row>
    <row r="759" spans="1:29" ht="12.75" customHeight="1">
      <c r="A759" s="545"/>
      <c r="B759" s="545"/>
      <c r="C759" s="545"/>
      <c r="D759" s="545"/>
      <c r="E759" s="545"/>
      <c r="F759" s="545"/>
      <c r="H759" s="545"/>
      <c r="I759" s="545"/>
      <c r="J759" s="545"/>
      <c r="K759" s="545"/>
      <c r="L759" s="545"/>
      <c r="M759" s="545"/>
      <c r="N759" s="545"/>
      <c r="O759" s="545"/>
      <c r="P759" s="545"/>
      <c r="Q759" s="545"/>
      <c r="R759" s="545"/>
      <c r="S759" s="545"/>
      <c r="W759" s="545"/>
      <c r="X759" s="545"/>
      <c r="Y759" s="545"/>
      <c r="Z759" s="545"/>
      <c r="AA759" s="545"/>
      <c r="AB759" s="545"/>
      <c r="AC759" s="545"/>
    </row>
    <row r="760" spans="1:29" ht="12.75" customHeight="1">
      <c r="A760" s="545"/>
      <c r="B760" s="545"/>
      <c r="C760" s="545"/>
      <c r="D760" s="545"/>
      <c r="E760" s="545"/>
      <c r="F760" s="545"/>
      <c r="H760" s="545"/>
      <c r="I760" s="545"/>
      <c r="J760" s="545"/>
      <c r="K760" s="545"/>
      <c r="L760" s="545"/>
      <c r="M760" s="545"/>
      <c r="N760" s="545"/>
      <c r="O760" s="545"/>
      <c r="P760" s="545"/>
      <c r="Q760" s="545"/>
      <c r="R760" s="545"/>
      <c r="S760" s="545"/>
      <c r="W760" s="545"/>
      <c r="X760" s="545"/>
      <c r="Y760" s="545"/>
      <c r="Z760" s="545"/>
      <c r="AA760" s="545"/>
      <c r="AB760" s="545"/>
      <c r="AC760" s="545"/>
    </row>
    <row r="761" spans="1:29" ht="12.75" customHeight="1">
      <c r="A761" s="545"/>
      <c r="B761" s="545"/>
      <c r="C761" s="545"/>
      <c r="D761" s="545"/>
      <c r="E761" s="545"/>
      <c r="F761" s="545"/>
      <c r="H761" s="545"/>
      <c r="I761" s="545"/>
      <c r="J761" s="545"/>
      <c r="K761" s="545"/>
      <c r="L761" s="545"/>
      <c r="M761" s="545"/>
      <c r="N761" s="545"/>
      <c r="O761" s="545"/>
      <c r="P761" s="545"/>
      <c r="Q761" s="545"/>
      <c r="R761" s="545"/>
      <c r="S761" s="545"/>
      <c r="W761" s="545"/>
      <c r="X761" s="545"/>
      <c r="Y761" s="545"/>
      <c r="Z761" s="545"/>
      <c r="AA761" s="545"/>
      <c r="AB761" s="545"/>
      <c r="AC761" s="545"/>
    </row>
    <row r="762" spans="1:29" ht="12.75" customHeight="1">
      <c r="A762" s="545"/>
      <c r="B762" s="545"/>
      <c r="C762" s="545"/>
      <c r="D762" s="545"/>
      <c r="E762" s="545"/>
      <c r="F762" s="545"/>
      <c r="H762" s="545"/>
      <c r="I762" s="545"/>
      <c r="J762" s="545"/>
      <c r="K762" s="545"/>
      <c r="L762" s="545"/>
      <c r="M762" s="545"/>
      <c r="N762" s="545"/>
      <c r="O762" s="545"/>
      <c r="P762" s="545"/>
      <c r="Q762" s="545"/>
      <c r="R762" s="545"/>
      <c r="S762" s="545"/>
      <c r="W762" s="545"/>
      <c r="X762" s="545"/>
      <c r="Y762" s="545"/>
      <c r="Z762" s="545"/>
      <c r="AA762" s="545"/>
      <c r="AB762" s="545"/>
      <c r="AC762" s="545"/>
    </row>
    <row r="763" spans="1:29" ht="12.75" customHeight="1">
      <c r="A763" s="545"/>
      <c r="B763" s="545"/>
      <c r="C763" s="545"/>
      <c r="D763" s="545"/>
      <c r="E763" s="545"/>
      <c r="F763" s="545"/>
      <c r="H763" s="545"/>
      <c r="I763" s="545"/>
      <c r="J763" s="545"/>
      <c r="K763" s="545"/>
      <c r="L763" s="545"/>
      <c r="M763" s="545"/>
      <c r="N763" s="545"/>
      <c r="O763" s="545"/>
      <c r="P763" s="545"/>
      <c r="Q763" s="545"/>
      <c r="R763" s="545"/>
      <c r="S763" s="545"/>
      <c r="W763" s="545"/>
      <c r="X763" s="545"/>
      <c r="Y763" s="545"/>
      <c r="Z763" s="545"/>
      <c r="AA763" s="545"/>
      <c r="AB763" s="545"/>
      <c r="AC763" s="545"/>
    </row>
    <row r="764" spans="1:29" ht="12.75" customHeight="1">
      <c r="A764" s="545"/>
      <c r="B764" s="545"/>
      <c r="C764" s="545"/>
      <c r="D764" s="545"/>
      <c r="E764" s="545"/>
      <c r="F764" s="545"/>
      <c r="H764" s="545"/>
      <c r="I764" s="545"/>
      <c r="J764" s="545"/>
      <c r="K764" s="545"/>
      <c r="L764" s="545"/>
      <c r="M764" s="545"/>
      <c r="N764" s="545"/>
      <c r="O764" s="545"/>
      <c r="P764" s="545"/>
      <c r="Q764" s="545"/>
      <c r="R764" s="545"/>
      <c r="S764" s="545"/>
      <c r="W764" s="545"/>
      <c r="X764" s="545"/>
      <c r="Y764" s="545"/>
      <c r="Z764" s="545"/>
      <c r="AA764" s="545"/>
      <c r="AB764" s="545"/>
      <c r="AC764" s="545"/>
    </row>
    <row r="765" spans="1:29" ht="12.75" customHeight="1">
      <c r="A765" s="545"/>
      <c r="B765" s="545"/>
      <c r="C765" s="545"/>
      <c r="D765" s="545"/>
      <c r="E765" s="545"/>
      <c r="F765" s="545"/>
      <c r="H765" s="545"/>
      <c r="I765" s="545"/>
      <c r="J765" s="545"/>
      <c r="K765" s="545"/>
      <c r="L765" s="545"/>
      <c r="M765" s="545"/>
      <c r="N765" s="545"/>
      <c r="O765" s="545"/>
      <c r="P765" s="545"/>
      <c r="Q765" s="545"/>
      <c r="R765" s="545"/>
      <c r="S765" s="545"/>
      <c r="W765" s="545"/>
      <c r="X765" s="545"/>
      <c r="Y765" s="545"/>
      <c r="Z765" s="545"/>
      <c r="AA765" s="545"/>
      <c r="AB765" s="545"/>
      <c r="AC765" s="545"/>
    </row>
    <row r="766" spans="1:29" ht="12.75" customHeight="1">
      <c r="A766" s="545"/>
      <c r="B766" s="545"/>
      <c r="C766" s="545"/>
      <c r="D766" s="545"/>
      <c r="E766" s="545"/>
      <c r="F766" s="545"/>
      <c r="H766" s="545"/>
      <c r="I766" s="545"/>
      <c r="J766" s="545"/>
      <c r="K766" s="545"/>
      <c r="L766" s="545"/>
      <c r="M766" s="545"/>
      <c r="N766" s="545"/>
      <c r="O766" s="545"/>
      <c r="P766" s="545"/>
      <c r="Q766" s="545"/>
      <c r="R766" s="545"/>
      <c r="S766" s="545"/>
      <c r="W766" s="545"/>
      <c r="X766" s="545"/>
      <c r="Y766" s="545"/>
      <c r="Z766" s="545"/>
      <c r="AA766" s="545"/>
      <c r="AB766" s="545"/>
      <c r="AC766" s="545"/>
    </row>
    <row r="767" spans="1:29" ht="12.75" customHeight="1">
      <c r="A767" s="545"/>
      <c r="B767" s="545"/>
      <c r="C767" s="545"/>
      <c r="D767" s="545"/>
      <c r="E767" s="545"/>
      <c r="F767" s="545"/>
      <c r="H767" s="545"/>
      <c r="I767" s="545"/>
      <c r="J767" s="545"/>
      <c r="K767" s="545"/>
      <c r="L767" s="545"/>
      <c r="M767" s="545"/>
      <c r="N767" s="545"/>
      <c r="O767" s="545"/>
      <c r="P767" s="545"/>
      <c r="Q767" s="545"/>
      <c r="R767" s="545"/>
      <c r="S767" s="545"/>
      <c r="W767" s="545"/>
      <c r="X767" s="545"/>
      <c r="Y767" s="545"/>
      <c r="Z767" s="545"/>
      <c r="AA767" s="545"/>
      <c r="AB767" s="545"/>
      <c r="AC767" s="545"/>
    </row>
    <row r="768" spans="1:29" ht="12.75" customHeight="1">
      <c r="A768" s="545"/>
      <c r="B768" s="545"/>
      <c r="C768" s="545"/>
      <c r="D768" s="545"/>
      <c r="E768" s="545"/>
      <c r="F768" s="545"/>
      <c r="H768" s="545"/>
      <c r="I768" s="545"/>
      <c r="J768" s="545"/>
      <c r="K768" s="545"/>
      <c r="L768" s="545"/>
      <c r="M768" s="545"/>
      <c r="N768" s="545"/>
      <c r="O768" s="545"/>
      <c r="P768" s="545"/>
      <c r="Q768" s="545"/>
      <c r="R768" s="545"/>
      <c r="S768" s="545"/>
      <c r="W768" s="545"/>
      <c r="X768" s="545"/>
      <c r="Y768" s="545"/>
      <c r="Z768" s="545"/>
      <c r="AA768" s="545"/>
      <c r="AB768" s="545"/>
      <c r="AC768" s="545"/>
    </row>
    <row r="769" spans="1:29" ht="12.75" customHeight="1">
      <c r="A769" s="545"/>
      <c r="B769" s="545"/>
      <c r="C769" s="545"/>
      <c r="D769" s="545"/>
      <c r="E769" s="545"/>
      <c r="F769" s="545"/>
      <c r="H769" s="545"/>
      <c r="I769" s="545"/>
      <c r="J769" s="545"/>
      <c r="K769" s="545"/>
      <c r="L769" s="545"/>
      <c r="M769" s="545"/>
      <c r="N769" s="545"/>
      <c r="O769" s="545"/>
      <c r="P769" s="545"/>
      <c r="Q769" s="545"/>
      <c r="R769" s="545"/>
      <c r="S769" s="545"/>
      <c r="W769" s="545"/>
      <c r="X769" s="545"/>
      <c r="Y769" s="545"/>
      <c r="Z769" s="545"/>
      <c r="AA769" s="545"/>
      <c r="AB769" s="545"/>
      <c r="AC769" s="545"/>
    </row>
    <row r="770" spans="1:29" ht="12.75" customHeight="1">
      <c r="A770" s="545"/>
      <c r="B770" s="545"/>
      <c r="C770" s="545"/>
      <c r="D770" s="545"/>
      <c r="E770" s="545"/>
      <c r="F770" s="545"/>
      <c r="H770" s="545"/>
      <c r="I770" s="545"/>
      <c r="J770" s="545"/>
      <c r="K770" s="545"/>
      <c r="L770" s="545"/>
      <c r="M770" s="545"/>
      <c r="N770" s="545"/>
      <c r="O770" s="545"/>
      <c r="P770" s="545"/>
      <c r="Q770" s="545"/>
      <c r="R770" s="545"/>
      <c r="S770" s="545"/>
      <c r="W770" s="545"/>
      <c r="X770" s="545"/>
      <c r="Y770" s="545"/>
      <c r="Z770" s="545"/>
      <c r="AA770" s="545"/>
      <c r="AB770" s="545"/>
      <c r="AC770" s="545"/>
    </row>
    <row r="771" spans="1:29" ht="12.75" customHeight="1">
      <c r="A771" s="545"/>
      <c r="B771" s="545"/>
      <c r="C771" s="545"/>
      <c r="D771" s="545"/>
      <c r="E771" s="545"/>
      <c r="F771" s="545"/>
      <c r="H771" s="545"/>
      <c r="I771" s="545"/>
      <c r="J771" s="545"/>
      <c r="K771" s="545"/>
      <c r="L771" s="545"/>
      <c r="M771" s="545"/>
      <c r="N771" s="545"/>
      <c r="O771" s="545"/>
      <c r="P771" s="545"/>
      <c r="Q771" s="545"/>
      <c r="R771" s="545"/>
      <c r="S771" s="545"/>
      <c r="W771" s="545"/>
      <c r="X771" s="545"/>
      <c r="Y771" s="545"/>
      <c r="Z771" s="545"/>
      <c r="AA771" s="545"/>
      <c r="AB771" s="545"/>
      <c r="AC771" s="545"/>
    </row>
    <row r="772" spans="1:29" ht="12.75" customHeight="1">
      <c r="A772" s="545"/>
      <c r="B772" s="545"/>
      <c r="C772" s="545"/>
      <c r="D772" s="545"/>
      <c r="E772" s="545"/>
      <c r="F772" s="545"/>
      <c r="H772" s="545"/>
      <c r="I772" s="545"/>
      <c r="J772" s="545"/>
      <c r="K772" s="545"/>
      <c r="L772" s="545"/>
      <c r="M772" s="545"/>
      <c r="N772" s="545"/>
      <c r="O772" s="545"/>
      <c r="P772" s="545"/>
      <c r="Q772" s="545"/>
      <c r="R772" s="545"/>
      <c r="S772" s="545"/>
      <c r="W772" s="545"/>
      <c r="X772" s="545"/>
      <c r="Y772" s="545"/>
      <c r="Z772" s="545"/>
      <c r="AA772" s="545"/>
      <c r="AB772" s="545"/>
      <c r="AC772" s="545"/>
    </row>
    <row r="773" spans="1:29" ht="12.75" customHeight="1">
      <c r="A773" s="545"/>
      <c r="B773" s="545"/>
      <c r="C773" s="545"/>
      <c r="D773" s="545"/>
      <c r="E773" s="545"/>
      <c r="F773" s="545"/>
      <c r="H773" s="545"/>
      <c r="I773" s="545"/>
      <c r="J773" s="545"/>
      <c r="K773" s="545"/>
      <c r="L773" s="545"/>
      <c r="M773" s="545"/>
      <c r="N773" s="545"/>
      <c r="O773" s="545"/>
      <c r="P773" s="545"/>
      <c r="Q773" s="545"/>
      <c r="R773" s="545"/>
      <c r="S773" s="545"/>
      <c r="W773" s="545"/>
      <c r="X773" s="545"/>
      <c r="Y773" s="545"/>
      <c r="Z773" s="545"/>
      <c r="AA773" s="545"/>
      <c r="AB773" s="545"/>
      <c r="AC773" s="545"/>
    </row>
    <row r="774" spans="1:29" ht="12.75" customHeight="1">
      <c r="A774" s="545"/>
      <c r="B774" s="545"/>
      <c r="C774" s="545"/>
      <c r="D774" s="545"/>
      <c r="E774" s="545"/>
      <c r="F774" s="545"/>
      <c r="H774" s="545"/>
      <c r="I774" s="545"/>
      <c r="J774" s="545"/>
      <c r="K774" s="545"/>
      <c r="L774" s="545"/>
      <c r="M774" s="545"/>
      <c r="N774" s="545"/>
      <c r="O774" s="545"/>
      <c r="P774" s="545"/>
      <c r="Q774" s="545"/>
      <c r="R774" s="545"/>
      <c r="S774" s="545"/>
      <c r="W774" s="545"/>
      <c r="X774" s="545"/>
      <c r="Y774" s="545"/>
      <c r="Z774" s="545"/>
      <c r="AA774" s="545"/>
      <c r="AB774" s="545"/>
      <c r="AC774" s="545"/>
    </row>
    <row r="775" spans="1:29" ht="12.75" customHeight="1">
      <c r="A775" s="545"/>
      <c r="B775" s="545"/>
      <c r="C775" s="545"/>
      <c r="D775" s="545"/>
      <c r="E775" s="545"/>
      <c r="F775" s="545"/>
      <c r="H775" s="545"/>
      <c r="I775" s="545"/>
      <c r="J775" s="545"/>
      <c r="K775" s="545"/>
      <c r="L775" s="545"/>
      <c r="M775" s="545"/>
      <c r="N775" s="545"/>
      <c r="O775" s="545"/>
      <c r="P775" s="545"/>
      <c r="Q775" s="545"/>
      <c r="R775" s="545"/>
      <c r="S775" s="545"/>
      <c r="W775" s="545"/>
      <c r="X775" s="545"/>
      <c r="Y775" s="545"/>
      <c r="Z775" s="545"/>
      <c r="AA775" s="545"/>
      <c r="AB775" s="545"/>
      <c r="AC775" s="545"/>
    </row>
    <row r="776" spans="1:29" ht="12.75" customHeight="1">
      <c r="A776" s="545"/>
      <c r="B776" s="545"/>
      <c r="C776" s="545"/>
      <c r="D776" s="545"/>
      <c r="E776" s="545"/>
      <c r="F776" s="545"/>
      <c r="H776" s="545"/>
      <c r="I776" s="545"/>
      <c r="J776" s="545"/>
      <c r="K776" s="545"/>
      <c r="L776" s="545"/>
      <c r="M776" s="545"/>
      <c r="N776" s="545"/>
      <c r="O776" s="545"/>
      <c r="P776" s="545"/>
      <c r="Q776" s="545"/>
      <c r="R776" s="545"/>
      <c r="S776" s="545"/>
      <c r="W776" s="545"/>
      <c r="X776" s="545"/>
      <c r="Y776" s="545"/>
      <c r="Z776" s="545"/>
      <c r="AA776" s="545"/>
      <c r="AB776" s="545"/>
      <c r="AC776" s="545"/>
    </row>
    <row r="777" spans="1:29" ht="12.75" customHeight="1">
      <c r="A777" s="545"/>
      <c r="B777" s="545"/>
      <c r="C777" s="545"/>
      <c r="D777" s="545"/>
      <c r="E777" s="545"/>
      <c r="F777" s="545"/>
      <c r="H777" s="545"/>
      <c r="I777" s="545"/>
      <c r="J777" s="545"/>
      <c r="K777" s="545"/>
      <c r="L777" s="545"/>
      <c r="M777" s="545"/>
      <c r="N777" s="545"/>
      <c r="O777" s="545"/>
      <c r="P777" s="545"/>
      <c r="Q777" s="545"/>
      <c r="R777" s="545"/>
      <c r="S777" s="545"/>
      <c r="W777" s="545"/>
      <c r="X777" s="545"/>
      <c r="Y777" s="545"/>
      <c r="Z777" s="545"/>
      <c r="AA777" s="545"/>
      <c r="AB777" s="545"/>
      <c r="AC777" s="545"/>
    </row>
    <row r="778" spans="1:29" ht="12.75" customHeight="1">
      <c r="A778" s="545"/>
      <c r="B778" s="545"/>
      <c r="C778" s="545"/>
      <c r="D778" s="545"/>
      <c r="E778" s="545"/>
      <c r="F778" s="545"/>
      <c r="H778" s="545"/>
      <c r="I778" s="545"/>
      <c r="J778" s="545"/>
      <c r="K778" s="545"/>
      <c r="L778" s="545"/>
      <c r="M778" s="545"/>
      <c r="N778" s="545"/>
      <c r="O778" s="545"/>
      <c r="P778" s="545"/>
      <c r="Q778" s="545"/>
      <c r="R778" s="545"/>
      <c r="S778" s="545"/>
      <c r="W778" s="545"/>
      <c r="X778" s="545"/>
      <c r="Y778" s="545"/>
      <c r="Z778" s="545"/>
      <c r="AA778" s="545"/>
      <c r="AB778" s="545"/>
      <c r="AC778" s="545"/>
    </row>
    <row r="779" spans="1:29" ht="12.75" customHeight="1">
      <c r="A779" s="545"/>
      <c r="B779" s="545"/>
      <c r="C779" s="545"/>
      <c r="D779" s="545"/>
      <c r="E779" s="545"/>
      <c r="F779" s="545"/>
      <c r="H779" s="545"/>
      <c r="I779" s="545"/>
      <c r="J779" s="545"/>
      <c r="K779" s="545"/>
      <c r="L779" s="545"/>
      <c r="M779" s="545"/>
      <c r="N779" s="545"/>
      <c r="O779" s="545"/>
      <c r="P779" s="545"/>
      <c r="Q779" s="545"/>
      <c r="R779" s="545"/>
      <c r="S779" s="545"/>
      <c r="W779" s="545"/>
      <c r="X779" s="545"/>
      <c r="Y779" s="545"/>
      <c r="Z779" s="545"/>
      <c r="AA779" s="545"/>
      <c r="AB779" s="545"/>
      <c r="AC779" s="545"/>
    </row>
    <row r="780" spans="1:29" ht="12.75" customHeight="1">
      <c r="A780" s="545"/>
      <c r="B780" s="545"/>
      <c r="C780" s="545"/>
      <c r="D780" s="545"/>
      <c r="E780" s="545"/>
      <c r="F780" s="545"/>
      <c r="H780" s="545"/>
      <c r="I780" s="545"/>
      <c r="J780" s="545"/>
      <c r="K780" s="545"/>
      <c r="L780" s="545"/>
      <c r="M780" s="545"/>
      <c r="N780" s="545"/>
      <c r="O780" s="545"/>
      <c r="P780" s="545"/>
      <c r="Q780" s="545"/>
      <c r="R780" s="545"/>
      <c r="S780" s="545"/>
      <c r="W780" s="545"/>
      <c r="X780" s="545"/>
      <c r="Y780" s="545"/>
      <c r="Z780" s="545"/>
      <c r="AA780" s="545"/>
      <c r="AB780" s="545"/>
      <c r="AC780" s="545"/>
    </row>
    <row r="781" spans="1:29" ht="12.75" customHeight="1">
      <c r="A781" s="545"/>
      <c r="B781" s="545"/>
      <c r="C781" s="545"/>
      <c r="D781" s="545"/>
      <c r="E781" s="545"/>
      <c r="F781" s="545"/>
      <c r="H781" s="545"/>
      <c r="I781" s="545"/>
      <c r="J781" s="545"/>
      <c r="K781" s="545"/>
      <c r="L781" s="545"/>
      <c r="M781" s="545"/>
      <c r="N781" s="545"/>
      <c r="O781" s="545"/>
      <c r="P781" s="545"/>
      <c r="Q781" s="545"/>
      <c r="R781" s="545"/>
      <c r="S781" s="545"/>
      <c r="W781" s="545"/>
      <c r="X781" s="545"/>
      <c r="Y781" s="545"/>
      <c r="Z781" s="545"/>
      <c r="AA781" s="545"/>
      <c r="AB781" s="545"/>
      <c r="AC781" s="545"/>
    </row>
    <row r="782" spans="1:29" ht="12.75" customHeight="1">
      <c r="A782" s="545"/>
      <c r="B782" s="545"/>
      <c r="C782" s="545"/>
      <c r="D782" s="545"/>
      <c r="E782" s="545"/>
      <c r="F782" s="545"/>
      <c r="H782" s="545"/>
      <c r="I782" s="545"/>
      <c r="J782" s="545"/>
      <c r="K782" s="545"/>
      <c r="L782" s="545"/>
      <c r="M782" s="545"/>
      <c r="N782" s="545"/>
      <c r="O782" s="545"/>
      <c r="P782" s="545"/>
      <c r="Q782" s="545"/>
      <c r="R782" s="545"/>
      <c r="S782" s="545"/>
      <c r="W782" s="545"/>
      <c r="X782" s="545"/>
      <c r="Y782" s="545"/>
      <c r="Z782" s="545"/>
      <c r="AA782" s="545"/>
      <c r="AB782" s="545"/>
      <c r="AC782" s="545"/>
    </row>
    <row r="783" spans="1:29" ht="12.75" customHeight="1">
      <c r="A783" s="545"/>
      <c r="B783" s="545"/>
      <c r="C783" s="545"/>
      <c r="D783" s="545"/>
      <c r="E783" s="545"/>
      <c r="F783" s="545"/>
      <c r="H783" s="545"/>
      <c r="I783" s="545"/>
      <c r="J783" s="545"/>
      <c r="K783" s="545"/>
      <c r="L783" s="545"/>
      <c r="M783" s="545"/>
      <c r="N783" s="545"/>
      <c r="O783" s="545"/>
      <c r="P783" s="545"/>
      <c r="Q783" s="545"/>
      <c r="R783" s="545"/>
      <c r="S783" s="545"/>
      <c r="W783" s="545"/>
      <c r="X783" s="545"/>
      <c r="Y783" s="545"/>
      <c r="Z783" s="545"/>
      <c r="AA783" s="545"/>
      <c r="AB783" s="545"/>
      <c r="AC783" s="545"/>
    </row>
    <row r="784" spans="1:29" ht="12.75" customHeight="1">
      <c r="A784" s="545"/>
      <c r="B784" s="545"/>
      <c r="C784" s="545"/>
      <c r="D784" s="545"/>
      <c r="E784" s="545"/>
      <c r="F784" s="545"/>
      <c r="H784" s="545"/>
      <c r="I784" s="545"/>
      <c r="J784" s="545"/>
      <c r="K784" s="545"/>
      <c r="L784" s="545"/>
      <c r="M784" s="545"/>
      <c r="N784" s="545"/>
      <c r="O784" s="545"/>
      <c r="P784" s="545"/>
      <c r="Q784" s="545"/>
      <c r="R784" s="545"/>
      <c r="S784" s="545"/>
      <c r="W784" s="545"/>
      <c r="X784" s="545"/>
      <c r="Y784" s="545"/>
      <c r="Z784" s="545"/>
      <c r="AA784" s="545"/>
      <c r="AB784" s="545"/>
      <c r="AC784" s="545"/>
    </row>
    <row r="785" spans="1:29" ht="12.75" customHeight="1">
      <c r="A785" s="545"/>
      <c r="B785" s="545"/>
      <c r="C785" s="545"/>
      <c r="D785" s="545"/>
      <c r="E785" s="545"/>
      <c r="F785" s="545"/>
      <c r="H785" s="545"/>
      <c r="I785" s="545"/>
      <c r="J785" s="545"/>
      <c r="K785" s="545"/>
      <c r="L785" s="545"/>
      <c r="M785" s="545"/>
      <c r="N785" s="545"/>
      <c r="O785" s="545"/>
      <c r="P785" s="545"/>
      <c r="Q785" s="545"/>
      <c r="R785" s="545"/>
      <c r="S785" s="545"/>
      <c r="W785" s="545"/>
      <c r="X785" s="545"/>
      <c r="Y785" s="545"/>
      <c r="Z785" s="545"/>
      <c r="AA785" s="545"/>
      <c r="AB785" s="545"/>
      <c r="AC785" s="545"/>
    </row>
    <row r="786" spans="1:29" ht="12.75" customHeight="1">
      <c r="A786" s="545"/>
      <c r="B786" s="545"/>
      <c r="C786" s="545"/>
      <c r="D786" s="545"/>
      <c r="E786" s="545"/>
      <c r="F786" s="545"/>
      <c r="H786" s="545"/>
      <c r="I786" s="545"/>
      <c r="J786" s="545"/>
      <c r="K786" s="545"/>
      <c r="L786" s="545"/>
      <c r="M786" s="545"/>
      <c r="N786" s="545"/>
      <c r="O786" s="545"/>
      <c r="P786" s="545"/>
      <c r="Q786" s="545"/>
      <c r="R786" s="545"/>
      <c r="S786" s="545"/>
      <c r="W786" s="545"/>
      <c r="X786" s="545"/>
      <c r="Y786" s="545"/>
      <c r="Z786" s="545"/>
      <c r="AA786" s="545"/>
      <c r="AB786" s="545"/>
      <c r="AC786" s="545"/>
    </row>
    <row r="787" spans="1:29" ht="12.75" customHeight="1">
      <c r="A787" s="545"/>
      <c r="B787" s="545"/>
      <c r="C787" s="545"/>
      <c r="D787" s="545"/>
      <c r="E787" s="545"/>
      <c r="F787" s="545"/>
      <c r="H787" s="545"/>
      <c r="I787" s="545"/>
      <c r="J787" s="545"/>
      <c r="K787" s="545"/>
      <c r="L787" s="545"/>
      <c r="M787" s="545"/>
      <c r="N787" s="545"/>
      <c r="O787" s="545"/>
      <c r="P787" s="545"/>
      <c r="Q787" s="545"/>
      <c r="R787" s="545"/>
      <c r="S787" s="545"/>
      <c r="W787" s="545"/>
      <c r="X787" s="545"/>
      <c r="Y787" s="545"/>
      <c r="Z787" s="545"/>
      <c r="AA787" s="545"/>
      <c r="AB787" s="545"/>
      <c r="AC787" s="545"/>
    </row>
    <row r="788" spans="1:29" ht="12.75" customHeight="1">
      <c r="A788" s="545"/>
      <c r="B788" s="545"/>
      <c r="C788" s="545"/>
      <c r="D788" s="545"/>
      <c r="E788" s="545"/>
      <c r="F788" s="545"/>
      <c r="H788" s="545"/>
      <c r="I788" s="545"/>
      <c r="J788" s="545"/>
      <c r="K788" s="545"/>
      <c r="L788" s="545"/>
      <c r="M788" s="545"/>
      <c r="N788" s="545"/>
      <c r="O788" s="545"/>
      <c r="P788" s="545"/>
      <c r="Q788" s="545"/>
      <c r="R788" s="545"/>
      <c r="S788" s="545"/>
      <c r="W788" s="545"/>
      <c r="X788" s="545"/>
      <c r="Y788" s="545"/>
      <c r="Z788" s="545"/>
      <c r="AA788" s="545"/>
      <c r="AB788" s="545"/>
      <c r="AC788" s="545"/>
    </row>
    <row r="789" spans="1:29" ht="12.75" customHeight="1">
      <c r="A789" s="545"/>
      <c r="B789" s="545"/>
      <c r="C789" s="545"/>
      <c r="D789" s="545"/>
      <c r="E789" s="545"/>
      <c r="F789" s="545"/>
      <c r="H789" s="545"/>
      <c r="I789" s="545"/>
      <c r="J789" s="545"/>
      <c r="K789" s="545"/>
      <c r="L789" s="545"/>
      <c r="M789" s="545"/>
      <c r="N789" s="545"/>
      <c r="O789" s="545"/>
      <c r="P789" s="545"/>
      <c r="Q789" s="545"/>
      <c r="R789" s="545"/>
      <c r="S789" s="545"/>
      <c r="W789" s="545"/>
      <c r="X789" s="545"/>
      <c r="Y789" s="545"/>
      <c r="Z789" s="545"/>
      <c r="AA789" s="545"/>
      <c r="AB789" s="545"/>
      <c r="AC789" s="545"/>
    </row>
    <row r="790" spans="1:29" ht="12.75" customHeight="1">
      <c r="A790" s="545"/>
      <c r="B790" s="545"/>
      <c r="C790" s="545"/>
      <c r="D790" s="545"/>
      <c r="E790" s="545"/>
      <c r="F790" s="545"/>
      <c r="H790" s="545"/>
      <c r="I790" s="545"/>
      <c r="J790" s="545"/>
      <c r="K790" s="545"/>
      <c r="L790" s="545"/>
      <c r="M790" s="545"/>
      <c r="N790" s="545"/>
      <c r="O790" s="545"/>
      <c r="P790" s="545"/>
      <c r="Q790" s="545"/>
      <c r="R790" s="545"/>
      <c r="S790" s="545"/>
      <c r="W790" s="545"/>
      <c r="X790" s="545"/>
      <c r="Y790" s="545"/>
      <c r="Z790" s="545"/>
      <c r="AA790" s="545"/>
      <c r="AB790" s="545"/>
      <c r="AC790" s="545"/>
    </row>
    <row r="791" spans="1:29" ht="12.75" customHeight="1">
      <c r="A791" s="545"/>
      <c r="B791" s="545"/>
      <c r="C791" s="545"/>
      <c r="D791" s="545"/>
      <c r="E791" s="545"/>
      <c r="F791" s="545"/>
      <c r="H791" s="545"/>
      <c r="I791" s="545"/>
      <c r="J791" s="545"/>
      <c r="K791" s="545"/>
      <c r="L791" s="545"/>
      <c r="M791" s="545"/>
      <c r="N791" s="545"/>
      <c r="O791" s="545"/>
      <c r="P791" s="545"/>
      <c r="Q791" s="545"/>
      <c r="R791" s="545"/>
      <c r="S791" s="545"/>
      <c r="W791" s="545"/>
      <c r="X791" s="545"/>
      <c r="Y791" s="545"/>
      <c r="Z791" s="545"/>
      <c r="AA791" s="545"/>
      <c r="AB791" s="545"/>
      <c r="AC791" s="545"/>
    </row>
    <row r="792" spans="1:29" ht="12.75" customHeight="1">
      <c r="A792" s="545"/>
      <c r="B792" s="545"/>
      <c r="C792" s="545"/>
      <c r="D792" s="545"/>
      <c r="E792" s="545"/>
      <c r="F792" s="545"/>
      <c r="H792" s="545"/>
      <c r="I792" s="545"/>
      <c r="J792" s="545"/>
      <c r="K792" s="545"/>
      <c r="L792" s="545"/>
      <c r="M792" s="545"/>
      <c r="N792" s="545"/>
      <c r="O792" s="545"/>
      <c r="P792" s="545"/>
      <c r="Q792" s="545"/>
      <c r="R792" s="545"/>
      <c r="S792" s="545"/>
      <c r="W792" s="545"/>
      <c r="X792" s="545"/>
      <c r="Y792" s="545"/>
      <c r="Z792" s="545"/>
      <c r="AA792" s="545"/>
      <c r="AB792" s="545"/>
      <c r="AC792" s="545"/>
    </row>
    <row r="793" spans="1:29" ht="12.75" customHeight="1">
      <c r="A793" s="545"/>
      <c r="B793" s="545"/>
      <c r="C793" s="545"/>
      <c r="D793" s="545"/>
      <c r="E793" s="545"/>
      <c r="F793" s="545"/>
      <c r="H793" s="545"/>
      <c r="I793" s="545"/>
      <c r="J793" s="545"/>
      <c r="K793" s="545"/>
      <c r="L793" s="545"/>
      <c r="M793" s="545"/>
      <c r="N793" s="545"/>
      <c r="O793" s="545"/>
      <c r="P793" s="545"/>
      <c r="Q793" s="545"/>
      <c r="R793" s="545"/>
      <c r="S793" s="545"/>
      <c r="W793" s="545"/>
      <c r="X793" s="545"/>
      <c r="Y793" s="545"/>
      <c r="Z793" s="545"/>
      <c r="AA793" s="545"/>
      <c r="AB793" s="545"/>
      <c r="AC793" s="545"/>
    </row>
    <row r="794" spans="1:29" ht="12.75" customHeight="1">
      <c r="A794" s="545"/>
      <c r="B794" s="545"/>
      <c r="C794" s="545"/>
      <c r="D794" s="545"/>
      <c r="E794" s="545"/>
      <c r="F794" s="545"/>
      <c r="H794" s="545"/>
      <c r="I794" s="545"/>
      <c r="J794" s="545"/>
      <c r="K794" s="545"/>
      <c r="L794" s="545"/>
      <c r="M794" s="545"/>
      <c r="N794" s="545"/>
      <c r="O794" s="545"/>
      <c r="P794" s="545"/>
      <c r="Q794" s="545"/>
      <c r="R794" s="545"/>
      <c r="S794" s="545"/>
      <c r="W794" s="545"/>
      <c r="X794" s="545"/>
      <c r="Y794" s="545"/>
      <c r="Z794" s="545"/>
      <c r="AA794" s="545"/>
      <c r="AB794" s="545"/>
      <c r="AC794" s="545"/>
    </row>
    <row r="795" spans="1:29" ht="12.75" customHeight="1">
      <c r="A795" s="545"/>
      <c r="B795" s="545"/>
      <c r="C795" s="545"/>
      <c r="D795" s="545"/>
      <c r="E795" s="545"/>
      <c r="F795" s="545"/>
      <c r="H795" s="545"/>
      <c r="I795" s="545"/>
      <c r="J795" s="545"/>
      <c r="K795" s="545"/>
      <c r="L795" s="545"/>
      <c r="M795" s="545"/>
      <c r="N795" s="545"/>
      <c r="O795" s="545"/>
      <c r="P795" s="545"/>
      <c r="Q795" s="545"/>
      <c r="R795" s="545"/>
      <c r="S795" s="545"/>
      <c r="W795" s="545"/>
      <c r="X795" s="545"/>
      <c r="Y795" s="545"/>
      <c r="Z795" s="545"/>
      <c r="AA795" s="545"/>
      <c r="AB795" s="545"/>
      <c r="AC795" s="545"/>
    </row>
    <row r="796" spans="1:29" ht="12.75" customHeight="1">
      <c r="A796" s="545"/>
      <c r="B796" s="545"/>
      <c r="C796" s="545"/>
      <c r="D796" s="545"/>
      <c r="E796" s="545"/>
      <c r="F796" s="545"/>
      <c r="H796" s="545"/>
      <c r="I796" s="545"/>
      <c r="J796" s="545"/>
      <c r="K796" s="545"/>
      <c r="L796" s="545"/>
      <c r="M796" s="545"/>
      <c r="N796" s="545"/>
      <c r="O796" s="545"/>
      <c r="P796" s="545"/>
      <c r="Q796" s="545"/>
      <c r="R796" s="545"/>
      <c r="S796" s="545"/>
      <c r="W796" s="545"/>
      <c r="X796" s="545"/>
      <c r="Y796" s="545"/>
      <c r="Z796" s="545"/>
      <c r="AA796" s="545"/>
      <c r="AB796" s="545"/>
      <c r="AC796" s="545"/>
    </row>
    <row r="797" spans="1:29" ht="12.75" customHeight="1">
      <c r="A797" s="545"/>
      <c r="B797" s="545"/>
      <c r="C797" s="545"/>
      <c r="D797" s="545"/>
      <c r="E797" s="545"/>
      <c r="F797" s="545"/>
      <c r="H797" s="545"/>
      <c r="I797" s="545"/>
      <c r="J797" s="545"/>
      <c r="K797" s="545"/>
      <c r="L797" s="545"/>
      <c r="M797" s="545"/>
      <c r="N797" s="545"/>
      <c r="O797" s="545"/>
      <c r="P797" s="545"/>
      <c r="Q797" s="545"/>
      <c r="R797" s="545"/>
      <c r="S797" s="545"/>
      <c r="W797" s="545"/>
      <c r="X797" s="545"/>
      <c r="Y797" s="545"/>
      <c r="Z797" s="545"/>
      <c r="AA797" s="545"/>
      <c r="AB797" s="545"/>
      <c r="AC797" s="545"/>
    </row>
    <row r="798" spans="1:29" ht="12.75" customHeight="1">
      <c r="A798" s="545"/>
      <c r="B798" s="545"/>
      <c r="C798" s="545"/>
      <c r="D798" s="545"/>
      <c r="E798" s="545"/>
      <c r="F798" s="545"/>
      <c r="H798" s="545"/>
      <c r="I798" s="545"/>
      <c r="J798" s="545"/>
      <c r="K798" s="545"/>
      <c r="L798" s="545"/>
      <c r="M798" s="545"/>
      <c r="N798" s="545"/>
      <c r="O798" s="545"/>
      <c r="P798" s="545"/>
      <c r="Q798" s="545"/>
      <c r="R798" s="545"/>
      <c r="S798" s="545"/>
      <c r="W798" s="545"/>
      <c r="X798" s="545"/>
      <c r="Y798" s="545"/>
      <c r="Z798" s="545"/>
      <c r="AA798" s="545"/>
      <c r="AB798" s="545"/>
      <c r="AC798" s="545"/>
    </row>
    <row r="799" spans="1:29" ht="12.75" customHeight="1">
      <c r="A799" s="545"/>
      <c r="B799" s="545"/>
      <c r="C799" s="545"/>
      <c r="D799" s="545"/>
      <c r="E799" s="545"/>
      <c r="F799" s="545"/>
      <c r="H799" s="545"/>
      <c r="I799" s="545"/>
      <c r="J799" s="545"/>
      <c r="K799" s="545"/>
      <c r="L799" s="545"/>
      <c r="M799" s="545"/>
      <c r="N799" s="545"/>
      <c r="O799" s="545"/>
      <c r="P799" s="545"/>
      <c r="Q799" s="545"/>
      <c r="R799" s="545"/>
      <c r="S799" s="545"/>
      <c r="W799" s="545"/>
      <c r="X799" s="545"/>
      <c r="Y799" s="545"/>
      <c r="Z799" s="545"/>
      <c r="AA799" s="545"/>
      <c r="AB799" s="545"/>
      <c r="AC799" s="545"/>
    </row>
    <row r="800" spans="1:29" ht="12.75" customHeight="1">
      <c r="A800" s="545"/>
      <c r="B800" s="545"/>
      <c r="C800" s="545"/>
      <c r="D800" s="545"/>
      <c r="E800" s="545"/>
      <c r="F800" s="545"/>
      <c r="H800" s="545"/>
      <c r="I800" s="545"/>
      <c r="J800" s="545"/>
      <c r="K800" s="545"/>
      <c r="L800" s="545"/>
      <c r="M800" s="545"/>
      <c r="N800" s="545"/>
      <c r="O800" s="545"/>
      <c r="P800" s="545"/>
      <c r="Q800" s="545"/>
      <c r="R800" s="545"/>
      <c r="S800" s="545"/>
      <c r="W800" s="545"/>
      <c r="X800" s="545"/>
      <c r="Y800" s="545"/>
      <c r="Z800" s="545"/>
      <c r="AA800" s="545"/>
      <c r="AB800" s="545"/>
      <c r="AC800" s="545"/>
    </row>
    <row r="801" spans="1:29" ht="12.75" customHeight="1">
      <c r="A801" s="545"/>
      <c r="B801" s="545"/>
      <c r="C801" s="545"/>
      <c r="D801" s="545"/>
      <c r="E801" s="545"/>
      <c r="F801" s="545"/>
      <c r="H801" s="545"/>
      <c r="I801" s="545"/>
      <c r="J801" s="545"/>
      <c r="K801" s="545"/>
      <c r="L801" s="545"/>
      <c r="M801" s="545"/>
      <c r="N801" s="545"/>
      <c r="O801" s="545"/>
      <c r="P801" s="545"/>
      <c r="Q801" s="545"/>
      <c r="R801" s="545"/>
      <c r="S801" s="545"/>
      <c r="W801" s="545"/>
      <c r="X801" s="545"/>
      <c r="Y801" s="545"/>
      <c r="Z801" s="545"/>
      <c r="AA801" s="545"/>
      <c r="AB801" s="545"/>
      <c r="AC801" s="545"/>
    </row>
    <row r="802" spans="1:29" ht="12.75" customHeight="1">
      <c r="A802" s="545"/>
      <c r="B802" s="545"/>
      <c r="C802" s="545"/>
      <c r="D802" s="545"/>
      <c r="E802" s="545"/>
      <c r="F802" s="545"/>
      <c r="H802" s="545"/>
      <c r="I802" s="545"/>
      <c r="J802" s="545"/>
      <c r="K802" s="545"/>
      <c r="L802" s="545"/>
      <c r="M802" s="545"/>
      <c r="N802" s="545"/>
      <c r="O802" s="545"/>
      <c r="P802" s="545"/>
      <c r="Q802" s="545"/>
      <c r="R802" s="545"/>
      <c r="S802" s="545"/>
      <c r="W802" s="545"/>
      <c r="X802" s="545"/>
      <c r="Y802" s="545"/>
      <c r="Z802" s="545"/>
      <c r="AA802" s="545"/>
      <c r="AB802" s="545"/>
      <c r="AC802" s="545"/>
    </row>
    <row r="803" spans="1:29" ht="12.75" customHeight="1">
      <c r="A803" s="545"/>
      <c r="B803" s="545"/>
      <c r="C803" s="545"/>
      <c r="D803" s="545"/>
      <c r="E803" s="545"/>
      <c r="F803" s="545"/>
      <c r="H803" s="545"/>
      <c r="I803" s="545"/>
      <c r="J803" s="545"/>
      <c r="K803" s="545"/>
      <c r="L803" s="545"/>
      <c r="M803" s="545"/>
      <c r="N803" s="545"/>
      <c r="O803" s="545"/>
      <c r="P803" s="545"/>
      <c r="Q803" s="545"/>
      <c r="R803" s="545"/>
      <c r="S803" s="545"/>
      <c r="W803" s="545"/>
      <c r="X803" s="545"/>
      <c r="Y803" s="545"/>
      <c r="Z803" s="545"/>
      <c r="AA803" s="545"/>
      <c r="AB803" s="545"/>
      <c r="AC803" s="545"/>
    </row>
    <row r="804" spans="1:29" ht="12.75" customHeight="1">
      <c r="A804" s="545"/>
      <c r="B804" s="545"/>
      <c r="C804" s="545"/>
      <c r="D804" s="545"/>
      <c r="E804" s="545"/>
      <c r="F804" s="545"/>
      <c r="H804" s="545"/>
      <c r="I804" s="545"/>
      <c r="J804" s="545"/>
      <c r="K804" s="545"/>
      <c r="L804" s="545"/>
      <c r="M804" s="545"/>
      <c r="N804" s="545"/>
      <c r="O804" s="545"/>
      <c r="P804" s="545"/>
      <c r="Q804" s="545"/>
      <c r="R804" s="545"/>
      <c r="S804" s="545"/>
      <c r="W804" s="545"/>
      <c r="X804" s="545"/>
      <c r="Y804" s="545"/>
      <c r="Z804" s="545"/>
      <c r="AA804" s="545"/>
      <c r="AB804" s="545"/>
      <c r="AC804" s="545"/>
    </row>
    <row r="805" spans="1:29" ht="12.75" customHeight="1">
      <c r="A805" s="545"/>
      <c r="B805" s="545"/>
      <c r="C805" s="545"/>
      <c r="D805" s="545"/>
      <c r="E805" s="545"/>
      <c r="F805" s="545"/>
      <c r="H805" s="545"/>
      <c r="I805" s="545"/>
      <c r="J805" s="545"/>
      <c r="K805" s="545"/>
      <c r="L805" s="545"/>
      <c r="M805" s="545"/>
      <c r="N805" s="545"/>
      <c r="O805" s="545"/>
      <c r="P805" s="545"/>
      <c r="Q805" s="545"/>
      <c r="R805" s="545"/>
      <c r="S805" s="545"/>
      <c r="W805" s="545"/>
      <c r="X805" s="545"/>
      <c r="Y805" s="545"/>
      <c r="Z805" s="545"/>
      <c r="AA805" s="545"/>
      <c r="AB805" s="545"/>
      <c r="AC805" s="545"/>
    </row>
    <row r="806" spans="1:29" ht="12.75" customHeight="1">
      <c r="A806" s="545"/>
      <c r="B806" s="545"/>
      <c r="C806" s="545"/>
      <c r="D806" s="545"/>
      <c r="E806" s="545"/>
      <c r="F806" s="545"/>
      <c r="H806" s="545"/>
      <c r="I806" s="545"/>
      <c r="J806" s="545"/>
      <c r="K806" s="545"/>
      <c r="L806" s="545"/>
      <c r="M806" s="545"/>
      <c r="N806" s="545"/>
      <c r="O806" s="545"/>
      <c r="P806" s="545"/>
      <c r="Q806" s="545"/>
      <c r="R806" s="545"/>
      <c r="S806" s="545"/>
      <c r="W806" s="545"/>
      <c r="X806" s="545"/>
      <c r="Y806" s="545"/>
      <c r="Z806" s="545"/>
      <c r="AA806" s="545"/>
      <c r="AB806" s="545"/>
      <c r="AC806" s="545"/>
    </row>
    <row r="807" spans="1:29" ht="12.75" customHeight="1">
      <c r="A807" s="545"/>
      <c r="B807" s="545"/>
      <c r="C807" s="545"/>
      <c r="D807" s="545"/>
      <c r="E807" s="545"/>
      <c r="F807" s="545"/>
      <c r="H807" s="545"/>
      <c r="I807" s="545"/>
      <c r="J807" s="545"/>
      <c r="K807" s="545"/>
      <c r="L807" s="545"/>
      <c r="M807" s="545"/>
      <c r="N807" s="545"/>
      <c r="O807" s="545"/>
      <c r="P807" s="545"/>
      <c r="Q807" s="545"/>
      <c r="R807" s="545"/>
      <c r="S807" s="545"/>
      <c r="W807" s="545"/>
      <c r="X807" s="545"/>
      <c r="Y807" s="545"/>
      <c r="Z807" s="545"/>
      <c r="AA807" s="545"/>
      <c r="AB807" s="545"/>
      <c r="AC807" s="545"/>
    </row>
    <row r="808" spans="1:29" ht="12.75" customHeight="1">
      <c r="A808" s="545"/>
      <c r="B808" s="545"/>
      <c r="C808" s="545"/>
      <c r="D808" s="545"/>
      <c r="E808" s="545"/>
      <c r="F808" s="545"/>
      <c r="H808" s="545"/>
      <c r="I808" s="545"/>
      <c r="J808" s="545"/>
      <c r="K808" s="545"/>
      <c r="L808" s="545"/>
      <c r="M808" s="545"/>
      <c r="N808" s="545"/>
      <c r="O808" s="545"/>
      <c r="P808" s="545"/>
      <c r="Q808" s="545"/>
      <c r="R808" s="545"/>
      <c r="S808" s="545"/>
      <c r="W808" s="545"/>
      <c r="X808" s="545"/>
      <c r="Y808" s="545"/>
      <c r="Z808" s="545"/>
      <c r="AA808" s="545"/>
      <c r="AB808" s="545"/>
      <c r="AC808" s="545"/>
    </row>
    <row r="809" spans="1:29" ht="12.75" customHeight="1">
      <c r="A809" s="545"/>
      <c r="B809" s="545"/>
      <c r="C809" s="545"/>
      <c r="D809" s="545"/>
      <c r="E809" s="545"/>
      <c r="F809" s="545"/>
      <c r="H809" s="545"/>
      <c r="I809" s="545"/>
      <c r="J809" s="545"/>
      <c r="K809" s="545"/>
      <c r="L809" s="545"/>
      <c r="M809" s="545"/>
      <c r="N809" s="545"/>
      <c r="O809" s="545"/>
      <c r="P809" s="545"/>
      <c r="Q809" s="545"/>
      <c r="R809" s="545"/>
      <c r="S809" s="545"/>
      <c r="W809" s="545"/>
      <c r="X809" s="545"/>
      <c r="Y809" s="545"/>
      <c r="Z809" s="545"/>
      <c r="AA809" s="545"/>
      <c r="AB809" s="545"/>
      <c r="AC809" s="545"/>
    </row>
    <row r="810" spans="1:29" ht="12.75" customHeight="1">
      <c r="A810" s="545"/>
      <c r="B810" s="545"/>
      <c r="C810" s="545"/>
      <c r="D810" s="545"/>
      <c r="E810" s="545"/>
      <c r="F810" s="545"/>
      <c r="H810" s="545"/>
      <c r="I810" s="545"/>
      <c r="J810" s="545"/>
      <c r="K810" s="545"/>
      <c r="L810" s="545"/>
      <c r="M810" s="545"/>
      <c r="N810" s="545"/>
      <c r="O810" s="545"/>
      <c r="P810" s="545"/>
      <c r="Q810" s="545"/>
      <c r="R810" s="545"/>
      <c r="S810" s="545"/>
      <c r="W810" s="545"/>
      <c r="X810" s="545"/>
      <c r="Y810" s="545"/>
      <c r="Z810" s="545"/>
      <c r="AA810" s="545"/>
      <c r="AB810" s="545"/>
      <c r="AC810" s="545"/>
    </row>
    <row r="811" spans="1:29" ht="12.75" customHeight="1">
      <c r="A811" s="545"/>
      <c r="B811" s="545"/>
      <c r="C811" s="545"/>
      <c r="D811" s="545"/>
      <c r="E811" s="545"/>
      <c r="F811" s="545"/>
      <c r="H811" s="545"/>
      <c r="I811" s="545"/>
      <c r="J811" s="545"/>
      <c r="K811" s="545"/>
      <c r="L811" s="545"/>
      <c r="M811" s="545"/>
      <c r="N811" s="545"/>
      <c r="O811" s="545"/>
      <c r="P811" s="545"/>
      <c r="Q811" s="545"/>
      <c r="R811" s="545"/>
      <c r="S811" s="545"/>
      <c r="W811" s="545"/>
      <c r="X811" s="545"/>
      <c r="Y811" s="545"/>
      <c r="Z811" s="545"/>
      <c r="AA811" s="545"/>
      <c r="AB811" s="545"/>
      <c r="AC811" s="545"/>
    </row>
    <row r="812" spans="1:29" ht="12.75" customHeight="1">
      <c r="A812" s="545"/>
      <c r="B812" s="545"/>
      <c r="C812" s="545"/>
      <c r="D812" s="545"/>
      <c r="E812" s="545"/>
      <c r="F812" s="545"/>
      <c r="H812" s="545"/>
      <c r="I812" s="545"/>
      <c r="J812" s="545"/>
      <c r="K812" s="545"/>
      <c r="L812" s="545"/>
      <c r="M812" s="545"/>
      <c r="N812" s="545"/>
      <c r="O812" s="545"/>
      <c r="P812" s="545"/>
      <c r="Q812" s="545"/>
      <c r="R812" s="545"/>
      <c r="S812" s="545"/>
      <c r="W812" s="545"/>
      <c r="X812" s="545"/>
      <c r="Y812" s="545"/>
      <c r="Z812" s="545"/>
      <c r="AA812" s="545"/>
      <c r="AB812" s="545"/>
      <c r="AC812" s="545"/>
    </row>
    <row r="813" spans="1:29" ht="12.75" customHeight="1">
      <c r="A813" s="545"/>
      <c r="B813" s="545"/>
      <c r="C813" s="545"/>
      <c r="D813" s="545"/>
      <c r="E813" s="545"/>
      <c r="F813" s="545"/>
      <c r="H813" s="545"/>
      <c r="I813" s="545"/>
      <c r="J813" s="545"/>
      <c r="K813" s="545"/>
      <c r="L813" s="545"/>
      <c r="M813" s="545"/>
      <c r="N813" s="545"/>
      <c r="O813" s="545"/>
      <c r="P813" s="545"/>
      <c r="Q813" s="545"/>
      <c r="R813" s="545"/>
      <c r="S813" s="545"/>
      <c r="W813" s="545"/>
      <c r="X813" s="545"/>
      <c r="Y813" s="545"/>
      <c r="Z813" s="545"/>
      <c r="AA813" s="545"/>
      <c r="AB813" s="545"/>
      <c r="AC813" s="545"/>
    </row>
    <row r="814" spans="1:29" ht="12.75" customHeight="1">
      <c r="A814" s="545"/>
      <c r="B814" s="545"/>
      <c r="C814" s="545"/>
      <c r="D814" s="545"/>
      <c r="E814" s="545"/>
      <c r="F814" s="545"/>
      <c r="H814" s="545"/>
      <c r="I814" s="545"/>
      <c r="J814" s="545"/>
      <c r="K814" s="545"/>
      <c r="L814" s="545"/>
      <c r="M814" s="545"/>
      <c r="N814" s="545"/>
      <c r="O814" s="545"/>
      <c r="P814" s="545"/>
      <c r="Q814" s="545"/>
      <c r="R814" s="545"/>
      <c r="S814" s="545"/>
      <c r="W814" s="545"/>
      <c r="X814" s="545"/>
      <c r="Y814" s="545"/>
      <c r="Z814" s="545"/>
      <c r="AA814" s="545"/>
      <c r="AB814" s="545"/>
      <c r="AC814" s="545"/>
    </row>
    <row r="815" spans="1:29" ht="12.75" customHeight="1">
      <c r="A815" s="545"/>
      <c r="B815" s="545"/>
      <c r="C815" s="545"/>
      <c r="D815" s="545"/>
      <c r="E815" s="545"/>
      <c r="F815" s="545"/>
      <c r="H815" s="545"/>
      <c r="I815" s="545"/>
      <c r="J815" s="545"/>
      <c r="K815" s="545"/>
      <c r="L815" s="545"/>
      <c r="M815" s="545"/>
      <c r="N815" s="545"/>
      <c r="O815" s="545"/>
      <c r="P815" s="545"/>
      <c r="Q815" s="545"/>
      <c r="R815" s="545"/>
      <c r="S815" s="545"/>
      <c r="W815" s="545"/>
      <c r="X815" s="545"/>
      <c r="Y815" s="545"/>
      <c r="Z815" s="545"/>
      <c r="AA815" s="545"/>
      <c r="AB815" s="545"/>
      <c r="AC815" s="545"/>
    </row>
    <row r="816" spans="1:29" ht="12.75" customHeight="1">
      <c r="A816" s="545"/>
      <c r="B816" s="545"/>
      <c r="C816" s="545"/>
      <c r="D816" s="545"/>
      <c r="E816" s="545"/>
      <c r="F816" s="545"/>
      <c r="H816" s="545"/>
      <c r="I816" s="545"/>
      <c r="J816" s="545"/>
      <c r="K816" s="545"/>
      <c r="L816" s="545"/>
      <c r="M816" s="545"/>
      <c r="N816" s="545"/>
      <c r="O816" s="545"/>
      <c r="P816" s="545"/>
      <c r="Q816" s="545"/>
      <c r="R816" s="545"/>
      <c r="S816" s="545"/>
      <c r="W816" s="545"/>
      <c r="X816" s="545"/>
      <c r="Y816" s="545"/>
      <c r="Z816" s="545"/>
      <c r="AA816" s="545"/>
      <c r="AB816" s="545"/>
      <c r="AC816" s="545"/>
    </row>
    <row r="817" spans="1:29" ht="12.75" customHeight="1">
      <c r="A817" s="545"/>
      <c r="B817" s="545"/>
      <c r="C817" s="545"/>
      <c r="D817" s="545"/>
      <c r="E817" s="545"/>
      <c r="F817" s="545"/>
      <c r="H817" s="545"/>
      <c r="I817" s="545"/>
      <c r="J817" s="545"/>
      <c r="K817" s="545"/>
      <c r="L817" s="545"/>
      <c r="M817" s="545"/>
      <c r="N817" s="545"/>
      <c r="O817" s="545"/>
      <c r="P817" s="545"/>
      <c r="Q817" s="545"/>
      <c r="R817" s="545"/>
      <c r="S817" s="545"/>
      <c r="W817" s="545"/>
      <c r="X817" s="545"/>
      <c r="Y817" s="545"/>
      <c r="Z817" s="545"/>
      <c r="AA817" s="545"/>
      <c r="AB817" s="545"/>
      <c r="AC817" s="545"/>
    </row>
    <row r="818" spans="1:29" ht="12.75" customHeight="1">
      <c r="A818" s="545"/>
      <c r="B818" s="545"/>
      <c r="C818" s="545"/>
      <c r="D818" s="545"/>
      <c r="E818" s="545"/>
      <c r="F818" s="545"/>
      <c r="H818" s="545"/>
      <c r="I818" s="545"/>
      <c r="J818" s="545"/>
      <c r="K818" s="545"/>
      <c r="L818" s="545"/>
      <c r="M818" s="545"/>
      <c r="N818" s="545"/>
      <c r="O818" s="545"/>
      <c r="P818" s="545"/>
      <c r="Q818" s="545"/>
      <c r="R818" s="545"/>
      <c r="S818" s="545"/>
      <c r="W818" s="545"/>
      <c r="X818" s="545"/>
      <c r="Y818" s="545"/>
      <c r="Z818" s="545"/>
      <c r="AA818" s="545"/>
      <c r="AB818" s="545"/>
      <c r="AC818" s="545"/>
    </row>
    <row r="819" spans="1:29" ht="12.75" customHeight="1">
      <c r="A819" s="545"/>
      <c r="B819" s="545"/>
      <c r="C819" s="545"/>
      <c r="D819" s="545"/>
      <c r="E819" s="545"/>
      <c r="F819" s="545"/>
      <c r="H819" s="545"/>
      <c r="I819" s="545"/>
      <c r="J819" s="545"/>
      <c r="K819" s="545"/>
      <c r="L819" s="545"/>
      <c r="M819" s="545"/>
      <c r="N819" s="545"/>
      <c r="O819" s="545"/>
      <c r="P819" s="545"/>
      <c r="Q819" s="545"/>
      <c r="R819" s="545"/>
      <c r="S819" s="545"/>
      <c r="W819" s="545"/>
      <c r="X819" s="545"/>
      <c r="Y819" s="545"/>
      <c r="Z819" s="545"/>
      <c r="AA819" s="545"/>
      <c r="AB819" s="545"/>
      <c r="AC819" s="545"/>
    </row>
    <row r="820" spans="1:29" ht="12.75" customHeight="1">
      <c r="A820" s="545"/>
      <c r="B820" s="545"/>
      <c r="C820" s="545"/>
      <c r="D820" s="545"/>
      <c r="E820" s="545"/>
      <c r="F820" s="545"/>
      <c r="H820" s="545"/>
      <c r="I820" s="545"/>
      <c r="J820" s="545"/>
      <c r="K820" s="545"/>
      <c r="L820" s="545"/>
      <c r="M820" s="545"/>
      <c r="N820" s="545"/>
      <c r="O820" s="545"/>
      <c r="P820" s="545"/>
      <c r="Q820" s="545"/>
      <c r="R820" s="545"/>
      <c r="S820" s="545"/>
      <c r="W820" s="545"/>
      <c r="X820" s="545"/>
      <c r="Y820" s="545"/>
      <c r="Z820" s="545"/>
      <c r="AA820" s="545"/>
      <c r="AB820" s="545"/>
      <c r="AC820" s="545"/>
    </row>
    <row r="821" spans="1:29" ht="12.75" customHeight="1">
      <c r="A821" s="545"/>
      <c r="B821" s="545"/>
      <c r="C821" s="545"/>
      <c r="D821" s="545"/>
      <c r="E821" s="545"/>
      <c r="F821" s="545"/>
      <c r="H821" s="545"/>
      <c r="I821" s="545"/>
      <c r="J821" s="545"/>
      <c r="K821" s="545"/>
      <c r="L821" s="545"/>
      <c r="M821" s="545"/>
      <c r="N821" s="545"/>
      <c r="O821" s="545"/>
      <c r="P821" s="545"/>
      <c r="Q821" s="545"/>
      <c r="R821" s="545"/>
      <c r="S821" s="545"/>
      <c r="W821" s="545"/>
      <c r="X821" s="545"/>
      <c r="Y821" s="545"/>
      <c r="Z821" s="545"/>
      <c r="AA821" s="545"/>
      <c r="AB821" s="545"/>
      <c r="AC821" s="545"/>
    </row>
    <row r="822" spans="1:29" ht="12.75" customHeight="1">
      <c r="A822" s="545"/>
      <c r="B822" s="545"/>
      <c r="C822" s="545"/>
      <c r="D822" s="545"/>
      <c r="E822" s="545"/>
      <c r="F822" s="545"/>
      <c r="H822" s="545"/>
      <c r="I822" s="545"/>
      <c r="J822" s="545"/>
      <c r="K822" s="545"/>
      <c r="L822" s="545"/>
      <c r="M822" s="545"/>
      <c r="N822" s="545"/>
      <c r="O822" s="545"/>
      <c r="P822" s="545"/>
      <c r="Q822" s="545"/>
      <c r="R822" s="545"/>
      <c r="S822" s="545"/>
      <c r="W822" s="545"/>
      <c r="X822" s="545"/>
      <c r="Y822" s="545"/>
      <c r="Z822" s="545"/>
      <c r="AA822" s="545"/>
      <c r="AB822" s="545"/>
      <c r="AC822" s="545"/>
    </row>
    <row r="823" spans="1:29" ht="12.75" customHeight="1">
      <c r="A823" s="545"/>
      <c r="B823" s="545"/>
      <c r="C823" s="545"/>
      <c r="D823" s="545"/>
      <c r="E823" s="545"/>
      <c r="F823" s="545"/>
      <c r="H823" s="545"/>
      <c r="I823" s="545"/>
      <c r="J823" s="545"/>
      <c r="K823" s="545"/>
      <c r="L823" s="545"/>
      <c r="M823" s="545"/>
      <c r="N823" s="545"/>
      <c r="O823" s="545"/>
      <c r="P823" s="545"/>
      <c r="Q823" s="545"/>
      <c r="R823" s="545"/>
      <c r="S823" s="545"/>
      <c r="W823" s="545"/>
      <c r="X823" s="545"/>
      <c r="Y823" s="545"/>
      <c r="Z823" s="545"/>
      <c r="AA823" s="545"/>
      <c r="AB823" s="545"/>
      <c r="AC823" s="545"/>
    </row>
    <row r="824" spans="1:29" ht="12.75" customHeight="1">
      <c r="A824" s="545"/>
      <c r="B824" s="545"/>
      <c r="C824" s="545"/>
      <c r="D824" s="545"/>
      <c r="E824" s="545"/>
      <c r="F824" s="545"/>
      <c r="H824" s="545"/>
      <c r="I824" s="545"/>
      <c r="J824" s="545"/>
      <c r="K824" s="545"/>
      <c r="L824" s="545"/>
      <c r="M824" s="545"/>
      <c r="N824" s="545"/>
      <c r="O824" s="545"/>
      <c r="P824" s="545"/>
      <c r="Q824" s="545"/>
      <c r="R824" s="545"/>
      <c r="S824" s="545"/>
      <c r="W824" s="545"/>
      <c r="X824" s="545"/>
      <c r="Y824" s="545"/>
      <c r="Z824" s="545"/>
      <c r="AA824" s="545"/>
      <c r="AB824" s="545"/>
      <c r="AC824" s="545"/>
    </row>
    <row r="825" spans="1:29" ht="12.75" customHeight="1">
      <c r="A825" s="545"/>
      <c r="B825" s="545"/>
      <c r="C825" s="545"/>
      <c r="D825" s="545"/>
      <c r="E825" s="545"/>
      <c r="F825" s="545"/>
      <c r="H825" s="545"/>
      <c r="I825" s="545"/>
      <c r="J825" s="545"/>
      <c r="K825" s="545"/>
      <c r="L825" s="545"/>
      <c r="M825" s="545"/>
      <c r="N825" s="545"/>
      <c r="O825" s="545"/>
      <c r="P825" s="545"/>
      <c r="Q825" s="545"/>
      <c r="R825" s="545"/>
      <c r="S825" s="545"/>
      <c r="W825" s="545"/>
      <c r="X825" s="545"/>
      <c r="Y825" s="545"/>
      <c r="Z825" s="545"/>
      <c r="AA825" s="545"/>
      <c r="AB825" s="545"/>
      <c r="AC825" s="545"/>
    </row>
    <row r="826" spans="1:29" ht="12.75" customHeight="1">
      <c r="A826" s="545"/>
      <c r="B826" s="545"/>
      <c r="C826" s="545"/>
      <c r="D826" s="545"/>
      <c r="E826" s="545"/>
      <c r="F826" s="545"/>
      <c r="H826" s="545"/>
      <c r="I826" s="545"/>
      <c r="J826" s="545"/>
      <c r="K826" s="545"/>
      <c r="L826" s="545"/>
      <c r="M826" s="545"/>
      <c r="N826" s="545"/>
      <c r="O826" s="545"/>
      <c r="P826" s="545"/>
      <c r="Q826" s="545"/>
      <c r="R826" s="545"/>
      <c r="S826" s="545"/>
      <c r="W826" s="545"/>
      <c r="X826" s="545"/>
      <c r="Y826" s="545"/>
      <c r="Z826" s="545"/>
      <c r="AA826" s="545"/>
      <c r="AB826" s="545"/>
      <c r="AC826" s="545"/>
    </row>
    <row r="827" spans="1:29" ht="12.75" customHeight="1">
      <c r="A827" s="545"/>
      <c r="B827" s="545"/>
      <c r="C827" s="545"/>
      <c r="D827" s="545"/>
      <c r="E827" s="545"/>
      <c r="F827" s="545"/>
      <c r="H827" s="545"/>
      <c r="I827" s="545"/>
      <c r="J827" s="545"/>
      <c r="K827" s="545"/>
      <c r="L827" s="545"/>
      <c r="M827" s="545"/>
      <c r="N827" s="545"/>
      <c r="O827" s="545"/>
      <c r="P827" s="545"/>
      <c r="Q827" s="545"/>
      <c r="R827" s="545"/>
      <c r="S827" s="545"/>
      <c r="W827" s="545"/>
      <c r="X827" s="545"/>
      <c r="Y827" s="545"/>
      <c r="Z827" s="545"/>
      <c r="AA827" s="545"/>
      <c r="AB827" s="545"/>
      <c r="AC827" s="545"/>
    </row>
    <row r="828" spans="1:29" ht="12.75" customHeight="1">
      <c r="A828" s="545"/>
      <c r="B828" s="545"/>
      <c r="C828" s="545"/>
      <c r="D828" s="545"/>
      <c r="E828" s="545"/>
      <c r="F828" s="545"/>
      <c r="H828" s="545"/>
      <c r="I828" s="545"/>
      <c r="J828" s="545"/>
      <c r="K828" s="545"/>
      <c r="L828" s="545"/>
      <c r="M828" s="545"/>
      <c r="N828" s="545"/>
      <c r="O828" s="545"/>
      <c r="P828" s="545"/>
      <c r="Q828" s="545"/>
      <c r="R828" s="545"/>
      <c r="S828" s="545"/>
      <c r="W828" s="545"/>
      <c r="X828" s="545"/>
      <c r="Y828" s="545"/>
      <c r="Z828" s="545"/>
      <c r="AA828" s="545"/>
      <c r="AB828" s="545"/>
      <c r="AC828" s="545"/>
    </row>
    <row r="829" spans="1:29" ht="12.75" customHeight="1">
      <c r="A829" s="545"/>
      <c r="B829" s="545"/>
      <c r="C829" s="545"/>
      <c r="D829" s="545"/>
      <c r="E829" s="545"/>
      <c r="F829" s="545"/>
      <c r="H829" s="545"/>
      <c r="I829" s="545"/>
      <c r="J829" s="545"/>
      <c r="K829" s="545"/>
      <c r="L829" s="545"/>
      <c r="M829" s="545"/>
      <c r="N829" s="545"/>
      <c r="O829" s="545"/>
      <c r="P829" s="545"/>
      <c r="Q829" s="545"/>
      <c r="R829" s="545"/>
      <c r="S829" s="545"/>
      <c r="W829" s="545"/>
      <c r="X829" s="545"/>
      <c r="Y829" s="545"/>
      <c r="Z829" s="545"/>
      <c r="AA829" s="545"/>
      <c r="AB829" s="545"/>
      <c r="AC829" s="545"/>
    </row>
    <row r="830" spans="1:29" ht="12.75" customHeight="1">
      <c r="A830" s="545"/>
      <c r="B830" s="545"/>
      <c r="C830" s="545"/>
      <c r="D830" s="545"/>
      <c r="E830" s="545"/>
      <c r="F830" s="545"/>
      <c r="H830" s="545"/>
      <c r="I830" s="545"/>
      <c r="J830" s="545"/>
      <c r="K830" s="545"/>
      <c r="L830" s="545"/>
      <c r="M830" s="545"/>
      <c r="N830" s="545"/>
      <c r="O830" s="545"/>
      <c r="P830" s="545"/>
      <c r="Q830" s="545"/>
      <c r="R830" s="545"/>
      <c r="S830" s="545"/>
      <c r="W830" s="545"/>
      <c r="X830" s="545"/>
      <c r="Y830" s="545"/>
      <c r="Z830" s="545"/>
      <c r="AA830" s="545"/>
      <c r="AB830" s="545"/>
      <c r="AC830" s="545"/>
    </row>
    <row r="831" spans="1:29" ht="12.75" customHeight="1">
      <c r="A831" s="545"/>
      <c r="B831" s="545"/>
      <c r="C831" s="545"/>
      <c r="D831" s="545"/>
      <c r="E831" s="545"/>
      <c r="F831" s="545"/>
      <c r="H831" s="545"/>
      <c r="I831" s="545"/>
      <c r="J831" s="545"/>
      <c r="K831" s="545"/>
      <c r="L831" s="545"/>
      <c r="M831" s="545"/>
      <c r="N831" s="545"/>
      <c r="O831" s="545"/>
      <c r="P831" s="545"/>
      <c r="Q831" s="545"/>
      <c r="R831" s="545"/>
      <c r="S831" s="545"/>
      <c r="W831" s="545"/>
      <c r="X831" s="545"/>
      <c r="Y831" s="545"/>
      <c r="Z831" s="545"/>
      <c r="AA831" s="545"/>
      <c r="AB831" s="545"/>
      <c r="AC831" s="545"/>
    </row>
    <row r="832" spans="1:29" ht="12.75" customHeight="1">
      <c r="A832" s="545"/>
      <c r="B832" s="545"/>
      <c r="C832" s="545"/>
      <c r="D832" s="545"/>
      <c r="E832" s="545"/>
      <c r="F832" s="545"/>
      <c r="H832" s="545"/>
      <c r="I832" s="545"/>
      <c r="J832" s="545"/>
      <c r="K832" s="545"/>
      <c r="L832" s="545"/>
      <c r="M832" s="545"/>
      <c r="N832" s="545"/>
      <c r="O832" s="545"/>
      <c r="P832" s="545"/>
      <c r="Q832" s="545"/>
      <c r="R832" s="545"/>
      <c r="S832" s="545"/>
      <c r="W832" s="545"/>
      <c r="X832" s="545"/>
      <c r="Y832" s="545"/>
      <c r="Z832" s="545"/>
      <c r="AA832" s="545"/>
      <c r="AB832" s="545"/>
      <c r="AC832" s="545"/>
    </row>
    <row r="833" spans="1:29" ht="12.75" customHeight="1">
      <c r="A833" s="545"/>
      <c r="B833" s="545"/>
      <c r="C833" s="545"/>
      <c r="D833" s="545"/>
      <c r="E833" s="545"/>
      <c r="F833" s="545"/>
      <c r="H833" s="545"/>
      <c r="I833" s="545"/>
      <c r="J833" s="545"/>
      <c r="K833" s="545"/>
      <c r="L833" s="545"/>
      <c r="M833" s="545"/>
      <c r="N833" s="545"/>
      <c r="O833" s="545"/>
      <c r="P833" s="545"/>
      <c r="Q833" s="545"/>
      <c r="R833" s="545"/>
      <c r="S833" s="545"/>
      <c r="W833" s="545"/>
      <c r="X833" s="545"/>
      <c r="Y833" s="545"/>
      <c r="Z833" s="545"/>
      <c r="AA833" s="545"/>
      <c r="AB833" s="545"/>
      <c r="AC833" s="545"/>
    </row>
    <row r="834" spans="1:29" ht="12.75" customHeight="1">
      <c r="A834" s="545"/>
      <c r="B834" s="545"/>
      <c r="C834" s="545"/>
      <c r="D834" s="545"/>
      <c r="E834" s="545"/>
      <c r="F834" s="545"/>
      <c r="H834" s="545"/>
      <c r="I834" s="545"/>
      <c r="J834" s="545"/>
      <c r="K834" s="545"/>
      <c r="L834" s="545"/>
      <c r="M834" s="545"/>
      <c r="N834" s="545"/>
      <c r="O834" s="545"/>
      <c r="P834" s="545"/>
      <c r="Q834" s="545"/>
      <c r="R834" s="545"/>
      <c r="S834" s="545"/>
      <c r="W834" s="545"/>
      <c r="X834" s="545"/>
      <c r="Y834" s="545"/>
      <c r="Z834" s="545"/>
      <c r="AA834" s="545"/>
      <c r="AB834" s="545"/>
      <c r="AC834" s="545"/>
    </row>
    <row r="835" spans="1:29" ht="12.75" customHeight="1">
      <c r="A835" s="545"/>
      <c r="B835" s="545"/>
      <c r="C835" s="545"/>
      <c r="D835" s="545"/>
      <c r="E835" s="545"/>
      <c r="F835" s="545"/>
      <c r="H835" s="545"/>
      <c r="I835" s="545"/>
      <c r="J835" s="545"/>
      <c r="K835" s="545"/>
      <c r="L835" s="545"/>
      <c r="M835" s="545"/>
      <c r="N835" s="545"/>
      <c r="O835" s="545"/>
      <c r="P835" s="545"/>
      <c r="Q835" s="545"/>
      <c r="R835" s="545"/>
      <c r="S835" s="545"/>
      <c r="W835" s="545"/>
      <c r="X835" s="545"/>
      <c r="Y835" s="545"/>
      <c r="Z835" s="545"/>
      <c r="AA835" s="545"/>
      <c r="AB835" s="545"/>
      <c r="AC835" s="545"/>
    </row>
    <row r="836" spans="1:29" ht="12.75" customHeight="1">
      <c r="A836" s="545"/>
      <c r="B836" s="545"/>
      <c r="C836" s="545"/>
      <c r="D836" s="545"/>
      <c r="E836" s="545"/>
      <c r="F836" s="545"/>
      <c r="H836" s="545"/>
      <c r="I836" s="545"/>
      <c r="J836" s="545"/>
      <c r="K836" s="545"/>
      <c r="L836" s="545"/>
      <c r="M836" s="545"/>
      <c r="N836" s="545"/>
      <c r="O836" s="545"/>
      <c r="P836" s="545"/>
      <c r="Q836" s="545"/>
      <c r="R836" s="545"/>
      <c r="S836" s="545"/>
      <c r="W836" s="545"/>
      <c r="X836" s="545"/>
      <c r="Y836" s="545"/>
      <c r="Z836" s="545"/>
      <c r="AA836" s="545"/>
      <c r="AB836" s="545"/>
      <c r="AC836" s="545"/>
    </row>
    <row r="837" spans="1:29" ht="12.75" customHeight="1">
      <c r="A837" s="545"/>
      <c r="B837" s="545"/>
      <c r="C837" s="545"/>
      <c r="D837" s="545"/>
      <c r="E837" s="545"/>
      <c r="F837" s="545"/>
      <c r="H837" s="545"/>
      <c r="I837" s="545"/>
      <c r="J837" s="545"/>
      <c r="K837" s="545"/>
      <c r="L837" s="545"/>
      <c r="M837" s="545"/>
      <c r="N837" s="545"/>
      <c r="O837" s="545"/>
      <c r="P837" s="545"/>
      <c r="Q837" s="545"/>
      <c r="R837" s="545"/>
      <c r="S837" s="545"/>
      <c r="W837" s="545"/>
      <c r="X837" s="545"/>
      <c r="Y837" s="545"/>
      <c r="Z837" s="545"/>
      <c r="AA837" s="545"/>
      <c r="AB837" s="545"/>
      <c r="AC837" s="545"/>
    </row>
    <row r="838" spans="1:29" ht="12.75" customHeight="1">
      <c r="A838" s="545"/>
      <c r="B838" s="545"/>
      <c r="C838" s="545"/>
      <c r="D838" s="545"/>
      <c r="E838" s="545"/>
      <c r="F838" s="545"/>
      <c r="H838" s="545"/>
      <c r="I838" s="545"/>
      <c r="J838" s="545"/>
      <c r="K838" s="545"/>
      <c r="L838" s="545"/>
      <c r="M838" s="545"/>
      <c r="N838" s="545"/>
      <c r="O838" s="545"/>
      <c r="P838" s="545"/>
      <c r="Q838" s="545"/>
      <c r="R838" s="545"/>
      <c r="S838" s="545"/>
      <c r="W838" s="545"/>
      <c r="X838" s="545"/>
      <c r="Y838" s="545"/>
      <c r="Z838" s="545"/>
      <c r="AA838" s="545"/>
      <c r="AB838" s="545"/>
      <c r="AC838" s="545"/>
    </row>
    <row r="839" spans="1:29" ht="12.75" customHeight="1">
      <c r="A839" s="545"/>
      <c r="B839" s="545"/>
      <c r="C839" s="545"/>
      <c r="D839" s="545"/>
      <c r="E839" s="545"/>
      <c r="F839" s="545"/>
      <c r="H839" s="545"/>
      <c r="I839" s="545"/>
      <c r="J839" s="545"/>
      <c r="K839" s="545"/>
      <c r="L839" s="545"/>
      <c r="M839" s="545"/>
      <c r="N839" s="545"/>
      <c r="O839" s="545"/>
      <c r="P839" s="545"/>
      <c r="Q839" s="545"/>
      <c r="R839" s="545"/>
      <c r="S839" s="545"/>
      <c r="W839" s="545"/>
      <c r="X839" s="545"/>
      <c r="Y839" s="545"/>
      <c r="Z839" s="545"/>
      <c r="AA839" s="545"/>
      <c r="AB839" s="545"/>
      <c r="AC839" s="545"/>
    </row>
    <row r="840" spans="1:29" ht="12.75" customHeight="1">
      <c r="A840" s="545"/>
      <c r="B840" s="545"/>
      <c r="C840" s="545"/>
      <c r="D840" s="545"/>
      <c r="E840" s="545"/>
      <c r="F840" s="545"/>
      <c r="H840" s="545"/>
      <c r="I840" s="545"/>
      <c r="J840" s="545"/>
      <c r="K840" s="545"/>
      <c r="L840" s="545"/>
      <c r="M840" s="545"/>
      <c r="N840" s="545"/>
      <c r="O840" s="545"/>
      <c r="P840" s="545"/>
      <c r="Q840" s="545"/>
      <c r="R840" s="545"/>
      <c r="S840" s="545"/>
      <c r="W840" s="545"/>
      <c r="X840" s="545"/>
      <c r="Y840" s="545"/>
      <c r="Z840" s="545"/>
      <c r="AA840" s="545"/>
      <c r="AB840" s="545"/>
      <c r="AC840" s="545"/>
    </row>
    <row r="841" spans="1:29" ht="12.75" customHeight="1">
      <c r="A841" s="545"/>
      <c r="B841" s="545"/>
      <c r="C841" s="545"/>
      <c r="D841" s="545"/>
      <c r="E841" s="545"/>
      <c r="F841" s="545"/>
      <c r="H841" s="545"/>
      <c r="I841" s="545"/>
      <c r="J841" s="545"/>
      <c r="K841" s="545"/>
      <c r="L841" s="545"/>
      <c r="M841" s="545"/>
      <c r="N841" s="545"/>
      <c r="O841" s="545"/>
      <c r="P841" s="545"/>
      <c r="Q841" s="545"/>
      <c r="R841" s="545"/>
      <c r="S841" s="545"/>
      <c r="W841" s="545"/>
      <c r="X841" s="545"/>
      <c r="Y841" s="545"/>
      <c r="Z841" s="545"/>
      <c r="AA841" s="545"/>
      <c r="AB841" s="545"/>
      <c r="AC841" s="545"/>
    </row>
    <row r="842" spans="1:29" ht="12.75" customHeight="1">
      <c r="A842" s="545"/>
      <c r="B842" s="545"/>
      <c r="C842" s="545"/>
      <c r="D842" s="545"/>
      <c r="E842" s="545"/>
      <c r="F842" s="545"/>
      <c r="H842" s="545"/>
      <c r="I842" s="545"/>
      <c r="J842" s="545"/>
      <c r="K842" s="545"/>
      <c r="L842" s="545"/>
      <c r="M842" s="545"/>
      <c r="N842" s="545"/>
      <c r="O842" s="545"/>
      <c r="P842" s="545"/>
      <c r="Q842" s="545"/>
      <c r="R842" s="545"/>
      <c r="S842" s="545"/>
      <c r="W842" s="545"/>
      <c r="X842" s="545"/>
      <c r="Y842" s="545"/>
      <c r="Z842" s="545"/>
      <c r="AA842" s="545"/>
      <c r="AB842" s="545"/>
      <c r="AC842" s="545"/>
    </row>
    <row r="843" spans="1:29" ht="12.75" customHeight="1">
      <c r="A843" s="545"/>
      <c r="B843" s="545"/>
      <c r="C843" s="545"/>
      <c r="D843" s="545"/>
      <c r="E843" s="545"/>
      <c r="F843" s="545"/>
      <c r="H843" s="545"/>
      <c r="I843" s="545"/>
      <c r="J843" s="545"/>
      <c r="K843" s="545"/>
      <c r="L843" s="545"/>
      <c r="M843" s="545"/>
      <c r="N843" s="545"/>
      <c r="O843" s="545"/>
      <c r="P843" s="545"/>
      <c r="Q843" s="545"/>
      <c r="R843" s="545"/>
      <c r="S843" s="545"/>
      <c r="W843" s="545"/>
      <c r="X843" s="545"/>
      <c r="Y843" s="545"/>
      <c r="Z843" s="545"/>
      <c r="AA843" s="545"/>
      <c r="AB843" s="545"/>
      <c r="AC843" s="545"/>
    </row>
    <row r="844" spans="1:29" ht="12.75" customHeight="1">
      <c r="A844" s="545"/>
      <c r="B844" s="545"/>
      <c r="C844" s="545"/>
      <c r="D844" s="545"/>
      <c r="E844" s="545"/>
      <c r="F844" s="545"/>
      <c r="H844" s="545"/>
      <c r="I844" s="545"/>
      <c r="J844" s="545"/>
      <c r="K844" s="545"/>
      <c r="L844" s="545"/>
      <c r="M844" s="545"/>
      <c r="N844" s="545"/>
      <c r="O844" s="545"/>
      <c r="P844" s="545"/>
      <c r="Q844" s="545"/>
      <c r="R844" s="545"/>
      <c r="S844" s="545"/>
      <c r="W844" s="545"/>
      <c r="X844" s="545"/>
      <c r="Y844" s="545"/>
      <c r="Z844" s="545"/>
      <c r="AA844" s="545"/>
      <c r="AB844" s="545"/>
      <c r="AC844" s="545"/>
    </row>
    <row r="845" spans="1:29" ht="12.75" customHeight="1">
      <c r="A845" s="545"/>
      <c r="B845" s="545"/>
      <c r="C845" s="545"/>
      <c r="D845" s="545"/>
      <c r="E845" s="545"/>
      <c r="F845" s="545"/>
      <c r="H845" s="545"/>
      <c r="I845" s="545"/>
      <c r="J845" s="545"/>
      <c r="K845" s="545"/>
      <c r="L845" s="545"/>
      <c r="M845" s="545"/>
      <c r="N845" s="545"/>
      <c r="O845" s="545"/>
      <c r="P845" s="545"/>
      <c r="Q845" s="545"/>
      <c r="R845" s="545"/>
      <c r="S845" s="545"/>
      <c r="W845" s="545"/>
      <c r="X845" s="545"/>
      <c r="Y845" s="545"/>
      <c r="Z845" s="545"/>
      <c r="AA845" s="545"/>
      <c r="AB845" s="545"/>
      <c r="AC845" s="545"/>
    </row>
    <row r="846" spans="1:29" ht="12.75" customHeight="1">
      <c r="A846" s="545"/>
      <c r="B846" s="545"/>
      <c r="C846" s="545"/>
      <c r="D846" s="545"/>
      <c r="E846" s="545"/>
      <c r="F846" s="545"/>
      <c r="H846" s="545"/>
      <c r="I846" s="545"/>
      <c r="J846" s="545"/>
      <c r="K846" s="545"/>
      <c r="L846" s="545"/>
      <c r="M846" s="545"/>
      <c r="N846" s="545"/>
      <c r="O846" s="545"/>
      <c r="P846" s="545"/>
      <c r="Q846" s="545"/>
      <c r="R846" s="545"/>
      <c r="S846" s="545"/>
      <c r="W846" s="545"/>
      <c r="X846" s="545"/>
      <c r="Y846" s="545"/>
      <c r="Z846" s="545"/>
      <c r="AA846" s="545"/>
      <c r="AB846" s="545"/>
      <c r="AC846" s="545"/>
    </row>
    <row r="847" spans="1:29" ht="12.75" customHeight="1">
      <c r="A847" s="545"/>
      <c r="B847" s="545"/>
      <c r="C847" s="545"/>
      <c r="D847" s="545"/>
      <c r="E847" s="545"/>
      <c r="F847" s="545"/>
      <c r="H847" s="545"/>
      <c r="I847" s="545"/>
      <c r="J847" s="545"/>
      <c r="K847" s="545"/>
      <c r="L847" s="545"/>
      <c r="M847" s="545"/>
      <c r="N847" s="545"/>
      <c r="O847" s="545"/>
      <c r="P847" s="545"/>
      <c r="Q847" s="545"/>
      <c r="R847" s="545"/>
      <c r="S847" s="545"/>
      <c r="W847" s="545"/>
      <c r="X847" s="545"/>
      <c r="Y847" s="545"/>
      <c r="Z847" s="545"/>
      <c r="AA847" s="545"/>
      <c r="AB847" s="545"/>
      <c r="AC847" s="545"/>
    </row>
    <row r="848" spans="1:29" ht="12.75" customHeight="1">
      <c r="A848" s="545"/>
      <c r="B848" s="545"/>
      <c r="C848" s="545"/>
      <c r="D848" s="545"/>
      <c r="E848" s="545"/>
      <c r="F848" s="545"/>
      <c r="H848" s="545"/>
      <c r="I848" s="545"/>
      <c r="J848" s="545"/>
      <c r="K848" s="545"/>
      <c r="L848" s="545"/>
      <c r="M848" s="545"/>
      <c r="N848" s="545"/>
      <c r="O848" s="545"/>
      <c r="P848" s="545"/>
      <c r="Q848" s="545"/>
      <c r="R848" s="545"/>
      <c r="S848" s="545"/>
      <c r="W848" s="545"/>
      <c r="X848" s="545"/>
      <c r="Y848" s="545"/>
      <c r="Z848" s="545"/>
      <c r="AA848" s="545"/>
      <c r="AB848" s="545"/>
      <c r="AC848" s="545"/>
    </row>
    <row r="849" spans="1:29" ht="12.75" customHeight="1">
      <c r="A849" s="545"/>
      <c r="B849" s="545"/>
      <c r="C849" s="545"/>
      <c r="D849" s="545"/>
      <c r="E849" s="545"/>
      <c r="F849" s="545"/>
      <c r="H849" s="545"/>
      <c r="I849" s="545"/>
      <c r="J849" s="545"/>
      <c r="K849" s="545"/>
      <c r="L849" s="545"/>
      <c r="M849" s="545"/>
      <c r="N849" s="545"/>
      <c r="O849" s="545"/>
      <c r="P849" s="545"/>
      <c r="Q849" s="545"/>
      <c r="R849" s="545"/>
      <c r="S849" s="545"/>
      <c r="W849" s="545"/>
      <c r="X849" s="545"/>
      <c r="Y849" s="545"/>
      <c r="Z849" s="545"/>
      <c r="AA849" s="545"/>
      <c r="AB849" s="545"/>
      <c r="AC849" s="545"/>
    </row>
    <row r="850" spans="1:29" ht="12.75" customHeight="1">
      <c r="A850" s="545"/>
      <c r="B850" s="545"/>
      <c r="C850" s="545"/>
      <c r="D850" s="545"/>
      <c r="E850" s="545"/>
      <c r="F850" s="545"/>
      <c r="H850" s="545"/>
      <c r="I850" s="545"/>
      <c r="J850" s="545"/>
      <c r="K850" s="545"/>
      <c r="L850" s="545"/>
      <c r="M850" s="545"/>
      <c r="N850" s="545"/>
      <c r="O850" s="545"/>
      <c r="P850" s="545"/>
      <c r="Q850" s="545"/>
      <c r="R850" s="545"/>
      <c r="S850" s="545"/>
      <c r="W850" s="545"/>
      <c r="X850" s="545"/>
      <c r="Y850" s="545"/>
      <c r="Z850" s="545"/>
      <c r="AA850" s="545"/>
      <c r="AB850" s="545"/>
      <c r="AC850" s="545"/>
    </row>
    <row r="851" spans="1:29" ht="12.75" customHeight="1">
      <c r="A851" s="545"/>
      <c r="B851" s="545"/>
      <c r="C851" s="545"/>
      <c r="D851" s="545"/>
      <c r="E851" s="545"/>
      <c r="F851" s="545"/>
      <c r="H851" s="545"/>
      <c r="I851" s="545"/>
      <c r="J851" s="545"/>
      <c r="K851" s="545"/>
      <c r="L851" s="545"/>
      <c r="M851" s="545"/>
      <c r="N851" s="545"/>
      <c r="O851" s="545"/>
      <c r="P851" s="545"/>
      <c r="Q851" s="545"/>
      <c r="R851" s="545"/>
      <c r="S851" s="545"/>
      <c r="W851" s="545"/>
      <c r="X851" s="545"/>
      <c r="Y851" s="545"/>
      <c r="Z851" s="545"/>
      <c r="AA851" s="545"/>
      <c r="AB851" s="545"/>
      <c r="AC851" s="545"/>
    </row>
    <row r="852" spans="1:29" ht="12.75" customHeight="1">
      <c r="A852" s="545"/>
      <c r="B852" s="545"/>
      <c r="C852" s="545"/>
      <c r="D852" s="545"/>
      <c r="E852" s="545"/>
      <c r="F852" s="545"/>
      <c r="H852" s="545"/>
      <c r="I852" s="545"/>
      <c r="J852" s="545"/>
      <c r="K852" s="545"/>
      <c r="L852" s="545"/>
      <c r="M852" s="545"/>
      <c r="N852" s="545"/>
      <c r="O852" s="545"/>
      <c r="P852" s="545"/>
      <c r="Q852" s="545"/>
      <c r="R852" s="545"/>
      <c r="S852" s="545"/>
      <c r="W852" s="545"/>
      <c r="X852" s="545"/>
      <c r="Y852" s="545"/>
      <c r="Z852" s="545"/>
      <c r="AA852" s="545"/>
      <c r="AB852" s="545"/>
      <c r="AC852" s="545"/>
    </row>
    <row r="853" spans="1:29" ht="12.75" customHeight="1">
      <c r="A853" s="545"/>
      <c r="B853" s="545"/>
      <c r="C853" s="545"/>
      <c r="D853" s="545"/>
      <c r="E853" s="545"/>
      <c r="F853" s="545"/>
      <c r="H853" s="545"/>
      <c r="I853" s="545"/>
      <c r="J853" s="545"/>
      <c r="K853" s="545"/>
      <c r="L853" s="545"/>
      <c r="M853" s="545"/>
      <c r="N853" s="545"/>
      <c r="O853" s="545"/>
      <c r="P853" s="545"/>
      <c r="Q853" s="545"/>
      <c r="R853" s="545"/>
      <c r="S853" s="545"/>
      <c r="W853" s="545"/>
      <c r="X853" s="545"/>
      <c r="Y853" s="545"/>
      <c r="Z853" s="545"/>
      <c r="AA853" s="545"/>
      <c r="AB853" s="545"/>
      <c r="AC853" s="545"/>
    </row>
    <row r="854" spans="1:29" ht="12.75" customHeight="1">
      <c r="A854" s="545"/>
      <c r="B854" s="545"/>
      <c r="C854" s="545"/>
      <c r="D854" s="545"/>
      <c r="E854" s="545"/>
      <c r="F854" s="545"/>
      <c r="H854" s="545"/>
      <c r="I854" s="545"/>
      <c r="J854" s="545"/>
      <c r="K854" s="545"/>
      <c r="L854" s="545"/>
      <c r="M854" s="545"/>
      <c r="N854" s="545"/>
      <c r="O854" s="545"/>
      <c r="P854" s="545"/>
      <c r="Q854" s="545"/>
      <c r="R854" s="545"/>
      <c r="S854" s="545"/>
      <c r="W854" s="545"/>
      <c r="X854" s="545"/>
      <c r="Y854" s="545"/>
      <c r="Z854" s="545"/>
      <c r="AA854" s="545"/>
      <c r="AB854" s="545"/>
      <c r="AC854" s="545"/>
    </row>
    <row r="855" spans="1:29" ht="12.75" customHeight="1">
      <c r="A855" s="545"/>
      <c r="B855" s="545"/>
      <c r="C855" s="545"/>
      <c r="D855" s="545"/>
      <c r="E855" s="545"/>
      <c r="F855" s="545"/>
      <c r="H855" s="545"/>
      <c r="I855" s="545"/>
      <c r="J855" s="545"/>
      <c r="K855" s="545"/>
      <c r="L855" s="545"/>
      <c r="M855" s="545"/>
      <c r="N855" s="545"/>
      <c r="O855" s="545"/>
      <c r="P855" s="545"/>
      <c r="Q855" s="545"/>
      <c r="R855" s="545"/>
      <c r="S855" s="545"/>
      <c r="W855" s="545"/>
      <c r="X855" s="545"/>
      <c r="Y855" s="545"/>
      <c r="Z855" s="545"/>
      <c r="AA855" s="545"/>
      <c r="AB855" s="545"/>
      <c r="AC855" s="545"/>
    </row>
    <row r="856" spans="1:29" ht="12.75" customHeight="1">
      <c r="A856" s="545"/>
      <c r="B856" s="545"/>
      <c r="C856" s="545"/>
      <c r="D856" s="545"/>
      <c r="E856" s="545"/>
      <c r="F856" s="545"/>
      <c r="H856" s="545"/>
      <c r="I856" s="545"/>
      <c r="J856" s="545"/>
      <c r="K856" s="545"/>
      <c r="L856" s="545"/>
      <c r="M856" s="545"/>
      <c r="N856" s="545"/>
      <c r="O856" s="545"/>
      <c r="P856" s="545"/>
      <c r="Q856" s="545"/>
      <c r="R856" s="545"/>
      <c r="S856" s="545"/>
      <c r="W856" s="545"/>
      <c r="X856" s="545"/>
      <c r="Y856" s="545"/>
      <c r="Z856" s="545"/>
      <c r="AA856" s="545"/>
      <c r="AB856" s="545"/>
      <c r="AC856" s="545"/>
    </row>
    <row r="857" spans="1:29" ht="12.75" customHeight="1">
      <c r="A857" s="545"/>
      <c r="B857" s="545"/>
      <c r="C857" s="545"/>
      <c r="D857" s="545"/>
      <c r="E857" s="545"/>
      <c r="F857" s="545"/>
      <c r="H857" s="545"/>
      <c r="I857" s="545"/>
      <c r="J857" s="545"/>
      <c r="K857" s="545"/>
      <c r="L857" s="545"/>
      <c r="M857" s="545"/>
      <c r="N857" s="545"/>
      <c r="O857" s="545"/>
      <c r="P857" s="545"/>
      <c r="Q857" s="545"/>
      <c r="R857" s="545"/>
      <c r="S857" s="545"/>
      <c r="W857" s="545"/>
      <c r="X857" s="545"/>
      <c r="Y857" s="545"/>
      <c r="Z857" s="545"/>
      <c r="AA857" s="545"/>
      <c r="AB857" s="545"/>
      <c r="AC857" s="545"/>
    </row>
    <row r="858" spans="1:29" ht="12.75" customHeight="1">
      <c r="A858" s="545"/>
      <c r="B858" s="545"/>
      <c r="C858" s="545"/>
      <c r="D858" s="545"/>
      <c r="E858" s="545"/>
      <c r="F858" s="545"/>
      <c r="H858" s="545"/>
      <c r="I858" s="545"/>
      <c r="J858" s="545"/>
      <c r="K858" s="545"/>
      <c r="L858" s="545"/>
      <c r="M858" s="545"/>
      <c r="N858" s="545"/>
      <c r="O858" s="545"/>
      <c r="P858" s="545"/>
      <c r="Q858" s="545"/>
      <c r="R858" s="545"/>
      <c r="S858" s="545"/>
      <c r="W858" s="545"/>
      <c r="X858" s="545"/>
      <c r="Y858" s="545"/>
      <c r="Z858" s="545"/>
      <c r="AA858" s="545"/>
      <c r="AB858" s="545"/>
      <c r="AC858" s="545"/>
    </row>
    <row r="859" spans="1:29" ht="12.75" customHeight="1">
      <c r="A859" s="545"/>
      <c r="B859" s="545"/>
      <c r="C859" s="545"/>
      <c r="D859" s="545"/>
      <c r="E859" s="545"/>
      <c r="F859" s="545"/>
      <c r="H859" s="545"/>
      <c r="I859" s="545"/>
      <c r="J859" s="545"/>
      <c r="K859" s="545"/>
      <c r="L859" s="545"/>
      <c r="M859" s="545"/>
      <c r="N859" s="545"/>
      <c r="O859" s="545"/>
      <c r="P859" s="545"/>
      <c r="Q859" s="545"/>
      <c r="R859" s="545"/>
      <c r="S859" s="545"/>
      <c r="W859" s="545"/>
      <c r="X859" s="545"/>
      <c r="Y859" s="545"/>
      <c r="Z859" s="545"/>
      <c r="AA859" s="545"/>
      <c r="AB859" s="545"/>
      <c r="AC859" s="545"/>
    </row>
    <row r="860" spans="1:29" ht="12.75" customHeight="1">
      <c r="A860" s="545"/>
      <c r="B860" s="545"/>
      <c r="C860" s="545"/>
      <c r="D860" s="545"/>
      <c r="E860" s="545"/>
      <c r="F860" s="545"/>
      <c r="H860" s="545"/>
      <c r="I860" s="545"/>
      <c r="J860" s="545"/>
      <c r="K860" s="545"/>
      <c r="L860" s="545"/>
      <c r="M860" s="545"/>
      <c r="N860" s="545"/>
      <c r="O860" s="545"/>
      <c r="P860" s="545"/>
      <c r="Q860" s="545"/>
      <c r="R860" s="545"/>
      <c r="S860" s="545"/>
      <c r="W860" s="545"/>
      <c r="X860" s="545"/>
      <c r="Y860" s="545"/>
      <c r="Z860" s="545"/>
      <c r="AA860" s="545"/>
      <c r="AB860" s="545"/>
      <c r="AC860" s="545"/>
    </row>
    <row r="861" spans="1:29" ht="12.75" customHeight="1">
      <c r="A861" s="545"/>
      <c r="B861" s="545"/>
      <c r="C861" s="545"/>
      <c r="D861" s="545"/>
      <c r="E861" s="545"/>
      <c r="F861" s="545"/>
      <c r="H861" s="545"/>
      <c r="I861" s="545"/>
      <c r="J861" s="545"/>
      <c r="K861" s="545"/>
      <c r="L861" s="545"/>
      <c r="M861" s="545"/>
      <c r="N861" s="545"/>
      <c r="O861" s="545"/>
      <c r="P861" s="545"/>
      <c r="Q861" s="545"/>
      <c r="R861" s="545"/>
      <c r="S861" s="545"/>
      <c r="W861" s="545"/>
      <c r="X861" s="545"/>
      <c r="Y861" s="545"/>
      <c r="Z861" s="545"/>
      <c r="AA861" s="545"/>
      <c r="AB861" s="545"/>
      <c r="AC861" s="545"/>
    </row>
    <row r="862" spans="1:29" ht="12.75" customHeight="1">
      <c r="A862" s="545"/>
      <c r="B862" s="545"/>
      <c r="C862" s="545"/>
      <c r="D862" s="545"/>
      <c r="E862" s="545"/>
      <c r="F862" s="545"/>
      <c r="H862" s="545"/>
      <c r="I862" s="545"/>
      <c r="J862" s="545"/>
      <c r="K862" s="545"/>
      <c r="L862" s="545"/>
      <c r="M862" s="545"/>
      <c r="N862" s="545"/>
      <c r="O862" s="545"/>
      <c r="P862" s="545"/>
      <c r="Q862" s="545"/>
      <c r="R862" s="545"/>
      <c r="S862" s="545"/>
      <c r="W862" s="545"/>
      <c r="X862" s="545"/>
      <c r="Y862" s="545"/>
      <c r="Z862" s="545"/>
      <c r="AA862" s="545"/>
      <c r="AB862" s="545"/>
      <c r="AC862" s="545"/>
    </row>
    <row r="863" spans="1:29" ht="12.75" customHeight="1">
      <c r="A863" s="545"/>
      <c r="B863" s="545"/>
      <c r="C863" s="545"/>
      <c r="D863" s="545"/>
      <c r="E863" s="545"/>
      <c r="F863" s="545"/>
      <c r="H863" s="545"/>
      <c r="I863" s="545"/>
      <c r="J863" s="545"/>
      <c r="K863" s="545"/>
      <c r="L863" s="545"/>
      <c r="M863" s="545"/>
      <c r="N863" s="545"/>
      <c r="O863" s="545"/>
      <c r="P863" s="545"/>
      <c r="Q863" s="545"/>
      <c r="R863" s="545"/>
      <c r="S863" s="545"/>
      <c r="W863" s="545"/>
      <c r="X863" s="545"/>
      <c r="Y863" s="545"/>
      <c r="Z863" s="545"/>
      <c r="AA863" s="545"/>
      <c r="AB863" s="545"/>
      <c r="AC863" s="545"/>
    </row>
    <row r="864" spans="1:29" ht="12.75" customHeight="1">
      <c r="A864" s="545"/>
      <c r="B864" s="545"/>
      <c r="C864" s="545"/>
      <c r="D864" s="545"/>
      <c r="E864" s="545"/>
      <c r="F864" s="545"/>
      <c r="H864" s="545"/>
      <c r="I864" s="545"/>
      <c r="J864" s="545"/>
      <c r="K864" s="545"/>
      <c r="L864" s="545"/>
      <c r="M864" s="545"/>
      <c r="N864" s="545"/>
      <c r="O864" s="545"/>
      <c r="P864" s="545"/>
      <c r="Q864" s="545"/>
      <c r="R864" s="545"/>
      <c r="S864" s="545"/>
      <c r="W864" s="545"/>
      <c r="X864" s="545"/>
      <c r="Y864" s="545"/>
      <c r="Z864" s="545"/>
      <c r="AA864" s="545"/>
      <c r="AB864" s="545"/>
      <c r="AC864" s="545"/>
    </row>
    <row r="865" spans="1:29" ht="12.75" customHeight="1">
      <c r="A865" s="545"/>
      <c r="B865" s="545"/>
      <c r="C865" s="545"/>
      <c r="D865" s="545"/>
      <c r="E865" s="545"/>
      <c r="F865" s="545"/>
      <c r="H865" s="545"/>
      <c r="I865" s="545"/>
      <c r="J865" s="545"/>
      <c r="K865" s="545"/>
      <c r="L865" s="545"/>
      <c r="M865" s="545"/>
      <c r="N865" s="545"/>
      <c r="O865" s="545"/>
      <c r="P865" s="545"/>
      <c r="Q865" s="545"/>
      <c r="R865" s="545"/>
      <c r="S865" s="545"/>
      <c r="W865" s="545"/>
      <c r="X865" s="545"/>
      <c r="Y865" s="545"/>
      <c r="Z865" s="545"/>
      <c r="AA865" s="545"/>
      <c r="AB865" s="545"/>
      <c r="AC865" s="545"/>
    </row>
    <row r="866" spans="1:29" ht="12.75" customHeight="1">
      <c r="A866" s="545"/>
      <c r="B866" s="545"/>
      <c r="C866" s="545"/>
      <c r="D866" s="545"/>
      <c r="E866" s="545"/>
      <c r="F866" s="545"/>
      <c r="H866" s="545"/>
      <c r="I866" s="545"/>
      <c r="J866" s="545"/>
      <c r="K866" s="545"/>
      <c r="L866" s="545"/>
      <c r="M866" s="545"/>
      <c r="N866" s="545"/>
      <c r="O866" s="545"/>
      <c r="P866" s="545"/>
      <c r="Q866" s="545"/>
      <c r="R866" s="545"/>
      <c r="S866" s="545"/>
      <c r="W866" s="545"/>
      <c r="X866" s="545"/>
      <c r="Y866" s="545"/>
      <c r="Z866" s="545"/>
      <c r="AA866" s="545"/>
      <c r="AB866" s="545"/>
      <c r="AC866" s="545"/>
    </row>
    <row r="867" spans="1:29" ht="12.75" customHeight="1">
      <c r="A867" s="545"/>
      <c r="B867" s="545"/>
      <c r="C867" s="545"/>
      <c r="D867" s="545"/>
      <c r="E867" s="545"/>
      <c r="F867" s="545"/>
      <c r="H867" s="545"/>
      <c r="I867" s="545"/>
      <c r="J867" s="545"/>
      <c r="K867" s="545"/>
      <c r="L867" s="545"/>
      <c r="M867" s="545"/>
      <c r="N867" s="545"/>
      <c r="O867" s="545"/>
      <c r="P867" s="545"/>
      <c r="Q867" s="545"/>
      <c r="R867" s="545"/>
      <c r="S867" s="545"/>
      <c r="W867" s="545"/>
      <c r="X867" s="545"/>
      <c r="Y867" s="545"/>
      <c r="Z867" s="545"/>
      <c r="AA867" s="545"/>
      <c r="AB867" s="545"/>
      <c r="AC867" s="545"/>
    </row>
    <row r="868" spans="1:29" ht="12.75" customHeight="1">
      <c r="A868" s="545"/>
      <c r="B868" s="545"/>
      <c r="C868" s="545"/>
      <c r="D868" s="545"/>
      <c r="E868" s="545"/>
      <c r="F868" s="545"/>
      <c r="H868" s="545"/>
      <c r="I868" s="545"/>
      <c r="J868" s="545"/>
      <c r="K868" s="545"/>
      <c r="L868" s="545"/>
      <c r="M868" s="545"/>
      <c r="N868" s="545"/>
      <c r="O868" s="545"/>
      <c r="P868" s="545"/>
      <c r="Q868" s="545"/>
      <c r="R868" s="545"/>
      <c r="S868" s="545"/>
      <c r="W868" s="545"/>
      <c r="X868" s="545"/>
      <c r="Y868" s="545"/>
      <c r="Z868" s="545"/>
      <c r="AA868" s="545"/>
      <c r="AB868" s="545"/>
      <c r="AC868" s="545"/>
    </row>
    <row r="869" spans="1:29" ht="12.75" customHeight="1">
      <c r="A869" s="545"/>
      <c r="B869" s="545"/>
      <c r="C869" s="545"/>
      <c r="D869" s="545"/>
      <c r="E869" s="545"/>
      <c r="F869" s="545"/>
      <c r="H869" s="545"/>
      <c r="I869" s="545"/>
      <c r="J869" s="545"/>
      <c r="K869" s="545"/>
      <c r="L869" s="545"/>
      <c r="M869" s="545"/>
      <c r="N869" s="545"/>
      <c r="O869" s="545"/>
      <c r="P869" s="545"/>
      <c r="Q869" s="545"/>
      <c r="R869" s="545"/>
      <c r="S869" s="545"/>
      <c r="W869" s="545"/>
      <c r="X869" s="545"/>
      <c r="Y869" s="545"/>
      <c r="Z869" s="545"/>
      <c r="AA869" s="545"/>
      <c r="AB869" s="545"/>
      <c r="AC869" s="545"/>
    </row>
    <row r="870" spans="1:29" ht="12.75" customHeight="1">
      <c r="A870" s="545"/>
      <c r="B870" s="545"/>
      <c r="C870" s="545"/>
      <c r="D870" s="545"/>
      <c r="E870" s="545"/>
      <c r="F870" s="545"/>
      <c r="H870" s="545"/>
      <c r="I870" s="545"/>
      <c r="J870" s="545"/>
      <c r="K870" s="545"/>
      <c r="L870" s="545"/>
      <c r="M870" s="545"/>
      <c r="N870" s="545"/>
      <c r="O870" s="545"/>
      <c r="P870" s="545"/>
      <c r="Q870" s="545"/>
      <c r="R870" s="545"/>
      <c r="S870" s="545"/>
      <c r="W870" s="545"/>
      <c r="X870" s="545"/>
      <c r="Y870" s="545"/>
      <c r="Z870" s="545"/>
      <c r="AA870" s="545"/>
      <c r="AB870" s="545"/>
      <c r="AC870" s="545"/>
    </row>
    <row r="871" spans="1:29" ht="12.75" customHeight="1">
      <c r="A871" s="545"/>
      <c r="B871" s="545"/>
      <c r="C871" s="545"/>
      <c r="D871" s="545"/>
      <c r="E871" s="545"/>
      <c r="F871" s="545"/>
      <c r="H871" s="545"/>
      <c r="I871" s="545"/>
      <c r="J871" s="545"/>
      <c r="K871" s="545"/>
      <c r="L871" s="545"/>
      <c r="M871" s="545"/>
      <c r="N871" s="545"/>
      <c r="O871" s="545"/>
      <c r="P871" s="545"/>
      <c r="Q871" s="545"/>
      <c r="R871" s="545"/>
      <c r="S871" s="545"/>
      <c r="W871" s="545"/>
      <c r="X871" s="545"/>
      <c r="Y871" s="545"/>
      <c r="Z871" s="545"/>
      <c r="AA871" s="545"/>
      <c r="AB871" s="545"/>
      <c r="AC871" s="545"/>
    </row>
    <row r="872" spans="1:29" ht="12.75" customHeight="1">
      <c r="A872" s="545"/>
      <c r="B872" s="545"/>
      <c r="C872" s="545"/>
      <c r="D872" s="545"/>
      <c r="E872" s="545"/>
      <c r="F872" s="545"/>
      <c r="H872" s="545"/>
      <c r="I872" s="545"/>
      <c r="J872" s="545"/>
      <c r="K872" s="545"/>
      <c r="L872" s="545"/>
      <c r="M872" s="545"/>
      <c r="N872" s="545"/>
      <c r="O872" s="545"/>
      <c r="P872" s="545"/>
      <c r="Q872" s="545"/>
      <c r="R872" s="545"/>
      <c r="S872" s="545"/>
      <c r="W872" s="545"/>
      <c r="X872" s="545"/>
      <c r="Y872" s="545"/>
      <c r="Z872" s="545"/>
      <c r="AA872" s="545"/>
      <c r="AB872" s="545"/>
      <c r="AC872" s="545"/>
    </row>
    <row r="873" spans="1:29" ht="12.75" customHeight="1">
      <c r="A873" s="545"/>
      <c r="B873" s="545"/>
      <c r="C873" s="545"/>
      <c r="D873" s="545"/>
      <c r="E873" s="545"/>
      <c r="F873" s="545"/>
      <c r="H873" s="545"/>
      <c r="I873" s="545"/>
      <c r="J873" s="545"/>
      <c r="K873" s="545"/>
      <c r="L873" s="545"/>
      <c r="M873" s="545"/>
      <c r="N873" s="545"/>
      <c r="O873" s="545"/>
      <c r="P873" s="545"/>
      <c r="Q873" s="545"/>
      <c r="R873" s="545"/>
      <c r="S873" s="545"/>
      <c r="W873" s="545"/>
      <c r="X873" s="545"/>
      <c r="Y873" s="545"/>
      <c r="Z873" s="545"/>
      <c r="AA873" s="545"/>
      <c r="AB873" s="545"/>
      <c r="AC873" s="545"/>
    </row>
    <row r="874" spans="1:29" ht="12.75" customHeight="1">
      <c r="A874" s="545"/>
      <c r="B874" s="545"/>
      <c r="C874" s="545"/>
      <c r="D874" s="545"/>
      <c r="E874" s="545"/>
      <c r="F874" s="545"/>
      <c r="H874" s="545"/>
      <c r="I874" s="545"/>
      <c r="J874" s="545"/>
      <c r="K874" s="545"/>
      <c r="L874" s="545"/>
      <c r="M874" s="545"/>
      <c r="N874" s="545"/>
      <c r="O874" s="545"/>
      <c r="P874" s="545"/>
      <c r="Q874" s="545"/>
      <c r="R874" s="545"/>
      <c r="S874" s="545"/>
      <c r="W874" s="545"/>
      <c r="X874" s="545"/>
      <c r="Y874" s="545"/>
      <c r="Z874" s="545"/>
      <c r="AA874" s="545"/>
      <c r="AB874" s="545"/>
      <c r="AC874" s="545"/>
    </row>
    <row r="875" spans="1:29" ht="12.75" customHeight="1">
      <c r="A875" s="545"/>
      <c r="B875" s="545"/>
      <c r="C875" s="545"/>
      <c r="D875" s="545"/>
      <c r="E875" s="545"/>
      <c r="F875" s="545"/>
      <c r="H875" s="545"/>
      <c r="I875" s="545"/>
      <c r="J875" s="545"/>
      <c r="K875" s="545"/>
      <c r="L875" s="545"/>
      <c r="M875" s="545"/>
      <c r="N875" s="545"/>
      <c r="O875" s="545"/>
      <c r="P875" s="545"/>
      <c r="Q875" s="545"/>
      <c r="R875" s="545"/>
      <c r="S875" s="545"/>
      <c r="W875" s="545"/>
      <c r="X875" s="545"/>
      <c r="Y875" s="545"/>
      <c r="Z875" s="545"/>
      <c r="AA875" s="545"/>
      <c r="AB875" s="545"/>
      <c r="AC875" s="545"/>
    </row>
    <row r="876" spans="1:29" ht="12.75" customHeight="1">
      <c r="A876" s="545"/>
      <c r="B876" s="545"/>
      <c r="C876" s="545"/>
      <c r="D876" s="545"/>
      <c r="E876" s="545"/>
      <c r="F876" s="545"/>
      <c r="H876" s="545"/>
      <c r="I876" s="545"/>
      <c r="J876" s="545"/>
      <c r="K876" s="545"/>
      <c r="L876" s="545"/>
      <c r="M876" s="545"/>
      <c r="N876" s="545"/>
      <c r="O876" s="545"/>
      <c r="P876" s="545"/>
      <c r="Q876" s="545"/>
      <c r="R876" s="545"/>
      <c r="S876" s="545"/>
      <c r="W876" s="545"/>
      <c r="X876" s="545"/>
      <c r="Y876" s="545"/>
      <c r="Z876" s="545"/>
      <c r="AA876" s="545"/>
      <c r="AB876" s="545"/>
      <c r="AC876" s="545"/>
    </row>
    <row r="877" spans="1:29" ht="12.75" customHeight="1">
      <c r="A877" s="545"/>
      <c r="B877" s="545"/>
      <c r="C877" s="545"/>
      <c r="D877" s="545"/>
      <c r="E877" s="545"/>
      <c r="F877" s="545"/>
      <c r="H877" s="545"/>
      <c r="I877" s="545"/>
      <c r="J877" s="545"/>
      <c r="K877" s="545"/>
      <c r="L877" s="545"/>
      <c r="M877" s="545"/>
      <c r="N877" s="545"/>
      <c r="O877" s="545"/>
      <c r="P877" s="545"/>
      <c r="Q877" s="545"/>
      <c r="R877" s="545"/>
      <c r="S877" s="545"/>
      <c r="W877" s="545"/>
      <c r="X877" s="545"/>
      <c r="Y877" s="545"/>
      <c r="Z877" s="545"/>
      <c r="AA877" s="545"/>
      <c r="AB877" s="545"/>
      <c r="AC877" s="545"/>
    </row>
    <row r="878" spans="1:29" ht="12.75" customHeight="1">
      <c r="A878" s="545"/>
      <c r="B878" s="545"/>
      <c r="C878" s="545"/>
      <c r="D878" s="545"/>
      <c r="E878" s="545"/>
      <c r="F878" s="545"/>
      <c r="H878" s="545"/>
      <c r="I878" s="545"/>
      <c r="J878" s="545"/>
      <c r="K878" s="545"/>
      <c r="L878" s="545"/>
      <c r="M878" s="545"/>
      <c r="N878" s="545"/>
      <c r="O878" s="545"/>
      <c r="P878" s="545"/>
      <c r="Q878" s="545"/>
      <c r="R878" s="545"/>
      <c r="S878" s="545"/>
      <c r="W878" s="545"/>
      <c r="X878" s="545"/>
      <c r="Y878" s="545"/>
      <c r="Z878" s="545"/>
      <c r="AA878" s="545"/>
      <c r="AB878" s="545"/>
      <c r="AC878" s="545"/>
    </row>
    <row r="879" spans="1:29" ht="12.75" customHeight="1">
      <c r="A879" s="545"/>
      <c r="B879" s="545"/>
      <c r="C879" s="545"/>
      <c r="D879" s="545"/>
      <c r="E879" s="545"/>
      <c r="F879" s="545"/>
      <c r="H879" s="545"/>
      <c r="I879" s="545"/>
      <c r="J879" s="545"/>
      <c r="K879" s="545"/>
      <c r="L879" s="545"/>
      <c r="M879" s="545"/>
      <c r="N879" s="545"/>
      <c r="O879" s="545"/>
      <c r="P879" s="545"/>
      <c r="Q879" s="545"/>
      <c r="R879" s="545"/>
      <c r="S879" s="545"/>
      <c r="W879" s="545"/>
      <c r="X879" s="545"/>
      <c r="Y879" s="545"/>
      <c r="Z879" s="545"/>
      <c r="AA879" s="545"/>
      <c r="AB879" s="545"/>
      <c r="AC879" s="545"/>
    </row>
    <row r="880" spans="1:29" ht="12.75" customHeight="1">
      <c r="A880" s="545"/>
      <c r="B880" s="545"/>
      <c r="C880" s="545"/>
      <c r="D880" s="545"/>
      <c r="E880" s="545"/>
      <c r="F880" s="545"/>
      <c r="H880" s="545"/>
      <c r="I880" s="545"/>
      <c r="J880" s="545"/>
      <c r="K880" s="545"/>
      <c r="L880" s="545"/>
      <c r="M880" s="545"/>
      <c r="N880" s="545"/>
      <c r="O880" s="545"/>
      <c r="P880" s="545"/>
      <c r="Q880" s="545"/>
      <c r="R880" s="545"/>
      <c r="S880" s="545"/>
      <c r="W880" s="545"/>
      <c r="X880" s="545"/>
      <c r="Y880" s="545"/>
      <c r="Z880" s="545"/>
      <c r="AA880" s="545"/>
      <c r="AB880" s="545"/>
      <c r="AC880" s="545"/>
    </row>
    <row r="881" spans="1:29" ht="12.75" customHeight="1">
      <c r="A881" s="545"/>
      <c r="B881" s="545"/>
      <c r="C881" s="545"/>
      <c r="D881" s="545"/>
      <c r="E881" s="545"/>
      <c r="F881" s="545"/>
      <c r="H881" s="545"/>
      <c r="I881" s="545"/>
      <c r="J881" s="545"/>
      <c r="K881" s="545"/>
      <c r="L881" s="545"/>
      <c r="M881" s="545"/>
      <c r="N881" s="545"/>
      <c r="O881" s="545"/>
      <c r="P881" s="545"/>
      <c r="Q881" s="545"/>
      <c r="R881" s="545"/>
      <c r="S881" s="545"/>
      <c r="W881" s="545"/>
      <c r="X881" s="545"/>
      <c r="Y881" s="545"/>
      <c r="Z881" s="545"/>
      <c r="AA881" s="545"/>
      <c r="AB881" s="545"/>
      <c r="AC881" s="545"/>
    </row>
    <row r="882" spans="1:29" ht="12.75" customHeight="1">
      <c r="A882" s="545"/>
      <c r="B882" s="545"/>
      <c r="C882" s="545"/>
      <c r="D882" s="545"/>
      <c r="E882" s="545"/>
      <c r="F882" s="545"/>
      <c r="H882" s="545"/>
      <c r="I882" s="545"/>
      <c r="J882" s="545"/>
      <c r="K882" s="545"/>
      <c r="L882" s="545"/>
      <c r="M882" s="545"/>
      <c r="N882" s="545"/>
      <c r="O882" s="545"/>
      <c r="P882" s="545"/>
      <c r="Q882" s="545"/>
      <c r="R882" s="545"/>
      <c r="S882" s="545"/>
      <c r="W882" s="545"/>
      <c r="X882" s="545"/>
      <c r="Y882" s="545"/>
      <c r="Z882" s="545"/>
      <c r="AA882" s="545"/>
      <c r="AB882" s="545"/>
      <c r="AC882" s="545"/>
    </row>
    <row r="883" spans="1:29" ht="12.75" customHeight="1">
      <c r="A883" s="545"/>
      <c r="B883" s="545"/>
      <c r="C883" s="545"/>
      <c r="D883" s="545"/>
      <c r="E883" s="545"/>
      <c r="F883" s="545"/>
      <c r="H883" s="545"/>
      <c r="I883" s="545"/>
      <c r="J883" s="545"/>
      <c r="K883" s="545"/>
      <c r="L883" s="545"/>
      <c r="M883" s="545"/>
      <c r="N883" s="545"/>
      <c r="O883" s="545"/>
      <c r="P883" s="545"/>
      <c r="Q883" s="545"/>
      <c r="R883" s="545"/>
      <c r="S883" s="545"/>
      <c r="W883" s="545"/>
      <c r="X883" s="545"/>
      <c r="Y883" s="545"/>
      <c r="Z883" s="545"/>
      <c r="AA883" s="545"/>
      <c r="AB883" s="545"/>
      <c r="AC883" s="545"/>
    </row>
    <row r="884" spans="1:29" ht="12.75" customHeight="1">
      <c r="A884" s="545"/>
      <c r="B884" s="545"/>
      <c r="C884" s="545"/>
      <c r="D884" s="545"/>
      <c r="E884" s="545"/>
      <c r="F884" s="545"/>
      <c r="H884" s="545"/>
      <c r="I884" s="545"/>
      <c r="J884" s="545"/>
      <c r="K884" s="545"/>
      <c r="L884" s="545"/>
      <c r="M884" s="545"/>
      <c r="N884" s="545"/>
      <c r="O884" s="545"/>
      <c r="P884" s="545"/>
      <c r="Q884" s="545"/>
      <c r="R884" s="545"/>
      <c r="S884" s="545"/>
      <c r="W884" s="545"/>
      <c r="X884" s="545"/>
      <c r="Y884" s="545"/>
      <c r="Z884" s="545"/>
      <c r="AA884" s="545"/>
      <c r="AB884" s="545"/>
      <c r="AC884" s="545"/>
    </row>
    <row r="885" spans="1:29" ht="12.75" customHeight="1">
      <c r="A885" s="545"/>
      <c r="B885" s="545"/>
      <c r="C885" s="545"/>
      <c r="D885" s="545"/>
      <c r="E885" s="545"/>
      <c r="F885" s="545"/>
      <c r="H885" s="545"/>
      <c r="I885" s="545"/>
      <c r="J885" s="545"/>
      <c r="K885" s="545"/>
      <c r="L885" s="545"/>
      <c r="M885" s="545"/>
      <c r="N885" s="545"/>
      <c r="O885" s="545"/>
      <c r="P885" s="545"/>
      <c r="Q885" s="545"/>
      <c r="R885" s="545"/>
      <c r="S885" s="545"/>
      <c r="W885" s="545"/>
      <c r="X885" s="545"/>
      <c r="Y885" s="545"/>
      <c r="Z885" s="545"/>
      <c r="AA885" s="545"/>
      <c r="AB885" s="545"/>
      <c r="AC885" s="545"/>
    </row>
    <row r="886" spans="1:29" ht="12.75" customHeight="1">
      <c r="A886" s="545"/>
      <c r="B886" s="545"/>
      <c r="C886" s="545"/>
      <c r="D886" s="545"/>
      <c r="E886" s="545"/>
      <c r="F886" s="545"/>
      <c r="H886" s="545"/>
      <c r="I886" s="545"/>
      <c r="J886" s="545"/>
      <c r="K886" s="545"/>
      <c r="L886" s="545"/>
      <c r="M886" s="545"/>
      <c r="N886" s="545"/>
      <c r="O886" s="545"/>
      <c r="P886" s="545"/>
      <c r="Q886" s="545"/>
      <c r="R886" s="545"/>
      <c r="S886" s="545"/>
      <c r="W886" s="545"/>
      <c r="X886" s="545"/>
      <c r="Y886" s="545"/>
      <c r="Z886" s="545"/>
      <c r="AA886" s="545"/>
      <c r="AB886" s="545"/>
      <c r="AC886" s="545"/>
    </row>
    <row r="887" spans="1:29" ht="12.75" customHeight="1">
      <c r="A887" s="545"/>
      <c r="B887" s="545"/>
      <c r="C887" s="545"/>
      <c r="D887" s="545"/>
      <c r="E887" s="545"/>
      <c r="F887" s="545"/>
      <c r="H887" s="545"/>
      <c r="I887" s="545"/>
      <c r="J887" s="545"/>
      <c r="K887" s="545"/>
      <c r="L887" s="545"/>
      <c r="M887" s="545"/>
      <c r="N887" s="545"/>
      <c r="O887" s="545"/>
      <c r="P887" s="545"/>
      <c r="Q887" s="545"/>
      <c r="R887" s="545"/>
      <c r="S887" s="545"/>
      <c r="W887" s="545"/>
      <c r="X887" s="545"/>
      <c r="Y887" s="545"/>
      <c r="Z887" s="545"/>
      <c r="AA887" s="545"/>
      <c r="AB887" s="545"/>
      <c r="AC887" s="545"/>
    </row>
    <row r="888" spans="1:29" ht="12.75" customHeight="1">
      <c r="A888" s="545"/>
      <c r="B888" s="545"/>
      <c r="C888" s="545"/>
      <c r="D888" s="545"/>
      <c r="E888" s="545"/>
      <c r="F888" s="545"/>
      <c r="H888" s="545"/>
      <c r="I888" s="545"/>
      <c r="J888" s="545"/>
      <c r="K888" s="545"/>
      <c r="L888" s="545"/>
      <c r="M888" s="545"/>
      <c r="N888" s="545"/>
      <c r="O888" s="545"/>
      <c r="P888" s="545"/>
      <c r="Q888" s="545"/>
      <c r="R888" s="545"/>
      <c r="S888" s="545"/>
      <c r="W888" s="545"/>
      <c r="X888" s="545"/>
      <c r="Y888" s="545"/>
      <c r="Z888" s="545"/>
      <c r="AA888" s="545"/>
      <c r="AB888" s="545"/>
      <c r="AC888" s="545"/>
    </row>
    <row r="889" spans="1:29" ht="12.75" customHeight="1">
      <c r="A889" s="545"/>
      <c r="B889" s="545"/>
      <c r="C889" s="545"/>
      <c r="D889" s="545"/>
      <c r="E889" s="545"/>
      <c r="F889" s="545"/>
      <c r="H889" s="545"/>
      <c r="I889" s="545"/>
      <c r="J889" s="545"/>
      <c r="K889" s="545"/>
      <c r="L889" s="545"/>
      <c r="M889" s="545"/>
      <c r="N889" s="545"/>
      <c r="O889" s="545"/>
      <c r="P889" s="545"/>
      <c r="Q889" s="545"/>
      <c r="R889" s="545"/>
      <c r="S889" s="545"/>
      <c r="W889" s="545"/>
      <c r="X889" s="545"/>
      <c r="Y889" s="545"/>
      <c r="Z889" s="545"/>
      <c r="AA889" s="545"/>
      <c r="AB889" s="545"/>
      <c r="AC889" s="545"/>
    </row>
    <row r="890" spans="1:29" ht="12.75" customHeight="1">
      <c r="A890" s="545"/>
      <c r="B890" s="545"/>
      <c r="C890" s="545"/>
      <c r="D890" s="545"/>
      <c r="E890" s="545"/>
      <c r="F890" s="545"/>
      <c r="H890" s="545"/>
      <c r="I890" s="545"/>
      <c r="J890" s="545"/>
      <c r="K890" s="545"/>
      <c r="L890" s="545"/>
      <c r="M890" s="545"/>
      <c r="N890" s="545"/>
      <c r="O890" s="545"/>
      <c r="P890" s="545"/>
      <c r="Q890" s="545"/>
      <c r="R890" s="545"/>
      <c r="S890" s="545"/>
      <c r="W890" s="545"/>
      <c r="X890" s="545"/>
      <c r="Y890" s="545"/>
      <c r="Z890" s="545"/>
      <c r="AA890" s="545"/>
      <c r="AB890" s="545"/>
      <c r="AC890" s="545"/>
    </row>
    <row r="891" spans="1:29" ht="12.75" customHeight="1">
      <c r="A891" s="545"/>
      <c r="B891" s="545"/>
      <c r="C891" s="545"/>
      <c r="D891" s="545"/>
      <c r="E891" s="545"/>
      <c r="F891" s="545"/>
      <c r="H891" s="545"/>
      <c r="I891" s="545"/>
      <c r="J891" s="545"/>
      <c r="K891" s="545"/>
      <c r="L891" s="545"/>
      <c r="M891" s="545"/>
      <c r="N891" s="545"/>
      <c r="O891" s="545"/>
      <c r="P891" s="545"/>
      <c r="Q891" s="545"/>
      <c r="R891" s="545"/>
      <c r="S891" s="545"/>
      <c r="W891" s="545"/>
      <c r="X891" s="545"/>
      <c r="Y891" s="545"/>
      <c r="Z891" s="545"/>
      <c r="AA891" s="545"/>
      <c r="AB891" s="545"/>
      <c r="AC891" s="545"/>
    </row>
    <row r="892" spans="1:29" ht="12.75" customHeight="1">
      <c r="A892" s="545"/>
      <c r="B892" s="545"/>
      <c r="C892" s="545"/>
      <c r="D892" s="545"/>
      <c r="E892" s="545"/>
      <c r="F892" s="545"/>
      <c r="H892" s="545"/>
      <c r="I892" s="545"/>
      <c r="J892" s="545"/>
      <c r="K892" s="545"/>
      <c r="L892" s="545"/>
      <c r="M892" s="545"/>
      <c r="N892" s="545"/>
      <c r="O892" s="545"/>
      <c r="P892" s="545"/>
      <c r="Q892" s="545"/>
      <c r="R892" s="545"/>
      <c r="S892" s="545"/>
      <c r="W892" s="545"/>
      <c r="X892" s="545"/>
      <c r="Y892" s="545"/>
      <c r="Z892" s="545"/>
      <c r="AA892" s="545"/>
      <c r="AB892" s="545"/>
      <c r="AC892" s="545"/>
    </row>
    <row r="893" spans="1:29" ht="12.75" customHeight="1">
      <c r="A893" s="545"/>
      <c r="B893" s="545"/>
      <c r="C893" s="545"/>
      <c r="D893" s="545"/>
      <c r="E893" s="545"/>
      <c r="F893" s="545"/>
      <c r="H893" s="545"/>
      <c r="I893" s="545"/>
      <c r="J893" s="545"/>
      <c r="K893" s="545"/>
      <c r="L893" s="545"/>
      <c r="M893" s="545"/>
      <c r="N893" s="545"/>
      <c r="O893" s="545"/>
      <c r="P893" s="545"/>
      <c r="Q893" s="545"/>
      <c r="R893" s="545"/>
      <c r="S893" s="545"/>
      <c r="W893" s="545"/>
      <c r="X893" s="545"/>
      <c r="Y893" s="545"/>
      <c r="Z893" s="545"/>
      <c r="AA893" s="545"/>
      <c r="AB893" s="545"/>
      <c r="AC893" s="545"/>
    </row>
    <row r="894" spans="1:29" ht="12.75" customHeight="1">
      <c r="A894" s="545"/>
      <c r="B894" s="545"/>
      <c r="C894" s="545"/>
      <c r="D894" s="545"/>
      <c r="E894" s="545"/>
      <c r="F894" s="545"/>
      <c r="H894" s="545"/>
      <c r="I894" s="545"/>
      <c r="J894" s="545"/>
      <c r="K894" s="545"/>
      <c r="L894" s="545"/>
      <c r="M894" s="545"/>
      <c r="N894" s="545"/>
      <c r="O894" s="545"/>
      <c r="P894" s="545"/>
      <c r="Q894" s="545"/>
      <c r="R894" s="545"/>
      <c r="S894" s="545"/>
      <c r="W894" s="545"/>
      <c r="X894" s="545"/>
      <c r="Y894" s="545"/>
      <c r="Z894" s="545"/>
      <c r="AA894" s="545"/>
      <c r="AB894" s="545"/>
      <c r="AC894" s="545"/>
    </row>
    <row r="895" spans="1:29" ht="12.75" customHeight="1">
      <c r="A895" s="545"/>
      <c r="B895" s="545"/>
      <c r="C895" s="545"/>
      <c r="D895" s="545"/>
      <c r="E895" s="545"/>
      <c r="F895" s="545"/>
      <c r="H895" s="545"/>
      <c r="I895" s="545"/>
      <c r="J895" s="545"/>
      <c r="K895" s="545"/>
      <c r="L895" s="545"/>
      <c r="M895" s="545"/>
      <c r="N895" s="545"/>
      <c r="O895" s="545"/>
      <c r="P895" s="545"/>
      <c r="Q895" s="545"/>
      <c r="R895" s="545"/>
      <c r="S895" s="545"/>
      <c r="W895" s="545"/>
      <c r="X895" s="545"/>
      <c r="Y895" s="545"/>
      <c r="Z895" s="545"/>
      <c r="AA895" s="545"/>
      <c r="AB895" s="545"/>
      <c r="AC895" s="545"/>
    </row>
    <row r="896" spans="1:29" ht="12.75" customHeight="1">
      <c r="A896" s="545"/>
      <c r="B896" s="545"/>
      <c r="C896" s="545"/>
      <c r="D896" s="545"/>
      <c r="E896" s="545"/>
      <c r="F896" s="545"/>
      <c r="H896" s="545"/>
      <c r="I896" s="545"/>
      <c r="J896" s="545"/>
      <c r="K896" s="545"/>
      <c r="L896" s="545"/>
      <c r="M896" s="545"/>
      <c r="N896" s="545"/>
      <c r="O896" s="545"/>
      <c r="P896" s="545"/>
      <c r="Q896" s="545"/>
      <c r="R896" s="545"/>
      <c r="S896" s="545"/>
      <c r="W896" s="545"/>
      <c r="X896" s="545"/>
      <c r="Y896" s="545"/>
      <c r="Z896" s="545"/>
      <c r="AA896" s="545"/>
      <c r="AB896" s="545"/>
      <c r="AC896" s="545"/>
    </row>
    <row r="897" spans="1:29" ht="12.75" customHeight="1">
      <c r="A897" s="545"/>
      <c r="B897" s="545"/>
      <c r="C897" s="545"/>
      <c r="D897" s="545"/>
      <c r="E897" s="545"/>
      <c r="F897" s="545"/>
      <c r="H897" s="545"/>
      <c r="I897" s="545"/>
      <c r="J897" s="545"/>
      <c r="K897" s="545"/>
      <c r="L897" s="545"/>
      <c r="M897" s="545"/>
      <c r="N897" s="545"/>
      <c r="O897" s="545"/>
      <c r="P897" s="545"/>
      <c r="Q897" s="545"/>
      <c r="R897" s="545"/>
      <c r="S897" s="545"/>
      <c r="W897" s="545"/>
      <c r="X897" s="545"/>
      <c r="Y897" s="545"/>
      <c r="Z897" s="545"/>
      <c r="AA897" s="545"/>
      <c r="AB897" s="545"/>
      <c r="AC897" s="545"/>
    </row>
    <row r="898" spans="1:29" ht="12.75" customHeight="1">
      <c r="A898" s="545"/>
      <c r="B898" s="545"/>
      <c r="C898" s="545"/>
      <c r="D898" s="545"/>
      <c r="E898" s="545"/>
      <c r="F898" s="545"/>
      <c r="H898" s="545"/>
      <c r="I898" s="545"/>
      <c r="J898" s="545"/>
      <c r="K898" s="545"/>
      <c r="L898" s="545"/>
      <c r="M898" s="545"/>
      <c r="N898" s="545"/>
      <c r="O898" s="545"/>
      <c r="P898" s="545"/>
      <c r="Q898" s="545"/>
      <c r="R898" s="545"/>
      <c r="S898" s="545"/>
      <c r="W898" s="545"/>
      <c r="X898" s="545"/>
      <c r="Y898" s="545"/>
      <c r="Z898" s="545"/>
      <c r="AA898" s="545"/>
      <c r="AB898" s="545"/>
      <c r="AC898" s="545"/>
    </row>
    <row r="899" spans="1:29" ht="12.75" customHeight="1">
      <c r="A899" s="545"/>
      <c r="B899" s="545"/>
      <c r="C899" s="545"/>
      <c r="D899" s="545"/>
      <c r="E899" s="545"/>
      <c r="F899" s="545"/>
      <c r="H899" s="545"/>
      <c r="I899" s="545"/>
      <c r="J899" s="545"/>
      <c r="K899" s="545"/>
      <c r="L899" s="545"/>
      <c r="M899" s="545"/>
      <c r="N899" s="545"/>
      <c r="O899" s="545"/>
      <c r="P899" s="545"/>
      <c r="Q899" s="545"/>
      <c r="R899" s="545"/>
      <c r="S899" s="545"/>
      <c r="W899" s="545"/>
      <c r="X899" s="545"/>
      <c r="Y899" s="545"/>
      <c r="Z899" s="545"/>
      <c r="AA899" s="545"/>
      <c r="AB899" s="545"/>
      <c r="AC899" s="545"/>
    </row>
    <row r="900" spans="1:29" ht="12.75" customHeight="1">
      <c r="A900" s="545"/>
      <c r="B900" s="545"/>
      <c r="C900" s="545"/>
      <c r="D900" s="545"/>
      <c r="E900" s="545"/>
      <c r="F900" s="545"/>
      <c r="H900" s="545"/>
      <c r="I900" s="545"/>
      <c r="J900" s="545"/>
      <c r="K900" s="545"/>
      <c r="L900" s="545"/>
      <c r="M900" s="545"/>
      <c r="N900" s="545"/>
      <c r="O900" s="545"/>
      <c r="P900" s="545"/>
      <c r="Q900" s="545"/>
      <c r="R900" s="545"/>
      <c r="S900" s="545"/>
      <c r="W900" s="545"/>
      <c r="X900" s="545"/>
      <c r="Y900" s="545"/>
      <c r="Z900" s="545"/>
      <c r="AA900" s="545"/>
      <c r="AB900" s="545"/>
      <c r="AC900" s="545"/>
    </row>
    <row r="901" spans="1:29" ht="12.75" customHeight="1">
      <c r="A901" s="545"/>
      <c r="B901" s="545"/>
      <c r="C901" s="545"/>
      <c r="D901" s="545"/>
      <c r="E901" s="545"/>
      <c r="F901" s="545"/>
      <c r="H901" s="545"/>
      <c r="I901" s="545"/>
      <c r="J901" s="545"/>
      <c r="K901" s="545"/>
      <c r="L901" s="545"/>
      <c r="M901" s="545"/>
      <c r="N901" s="545"/>
      <c r="O901" s="545"/>
      <c r="P901" s="545"/>
      <c r="Q901" s="545"/>
      <c r="R901" s="545"/>
      <c r="S901" s="545"/>
      <c r="W901" s="545"/>
      <c r="X901" s="545"/>
      <c r="Y901" s="545"/>
      <c r="Z901" s="545"/>
      <c r="AA901" s="545"/>
      <c r="AB901" s="545"/>
      <c r="AC901" s="545"/>
    </row>
    <row r="902" spans="1:29" ht="12.75" customHeight="1">
      <c r="A902" s="545"/>
      <c r="B902" s="545"/>
      <c r="C902" s="545"/>
      <c r="D902" s="545"/>
      <c r="E902" s="545"/>
      <c r="F902" s="545"/>
      <c r="H902" s="545"/>
      <c r="I902" s="545"/>
      <c r="J902" s="545"/>
      <c r="K902" s="545"/>
      <c r="L902" s="545"/>
      <c r="M902" s="545"/>
      <c r="N902" s="545"/>
      <c r="O902" s="545"/>
      <c r="P902" s="545"/>
      <c r="Q902" s="545"/>
      <c r="R902" s="545"/>
      <c r="S902" s="545"/>
      <c r="W902" s="545"/>
      <c r="X902" s="545"/>
      <c r="Y902" s="545"/>
      <c r="Z902" s="545"/>
      <c r="AA902" s="545"/>
      <c r="AB902" s="545"/>
      <c r="AC902" s="545"/>
    </row>
    <row r="903" spans="1:29" ht="12.75" customHeight="1">
      <c r="A903" s="545"/>
      <c r="B903" s="545"/>
      <c r="C903" s="545"/>
      <c r="D903" s="545"/>
      <c r="E903" s="545"/>
      <c r="F903" s="545"/>
      <c r="H903" s="545"/>
      <c r="I903" s="545"/>
      <c r="J903" s="545"/>
      <c r="K903" s="545"/>
      <c r="L903" s="545"/>
      <c r="M903" s="545"/>
      <c r="N903" s="545"/>
      <c r="O903" s="545"/>
      <c r="P903" s="545"/>
      <c r="Q903" s="545"/>
      <c r="R903" s="545"/>
      <c r="S903" s="545"/>
      <c r="W903" s="545"/>
      <c r="X903" s="545"/>
      <c r="Y903" s="545"/>
      <c r="Z903" s="545"/>
      <c r="AA903" s="545"/>
      <c r="AB903" s="545"/>
      <c r="AC903" s="545"/>
    </row>
    <row r="904" spans="1:29" ht="12.75" customHeight="1">
      <c r="A904" s="545"/>
      <c r="B904" s="545"/>
      <c r="C904" s="545"/>
      <c r="D904" s="545"/>
      <c r="E904" s="545"/>
      <c r="F904" s="545"/>
      <c r="H904" s="545"/>
      <c r="I904" s="545"/>
      <c r="J904" s="545"/>
      <c r="K904" s="545"/>
      <c r="L904" s="545"/>
      <c r="M904" s="545"/>
      <c r="N904" s="545"/>
      <c r="O904" s="545"/>
      <c r="P904" s="545"/>
      <c r="Q904" s="545"/>
      <c r="R904" s="545"/>
      <c r="S904" s="545"/>
      <c r="W904" s="545"/>
      <c r="X904" s="545"/>
      <c r="Y904" s="545"/>
      <c r="Z904" s="545"/>
      <c r="AA904" s="545"/>
      <c r="AB904" s="545"/>
      <c r="AC904" s="545"/>
    </row>
    <row r="905" spans="1:29" ht="12.75" customHeight="1">
      <c r="A905" s="545"/>
      <c r="B905" s="545"/>
      <c r="C905" s="545"/>
      <c r="D905" s="545"/>
      <c r="E905" s="545"/>
      <c r="F905" s="545"/>
      <c r="H905" s="545"/>
      <c r="I905" s="545"/>
      <c r="J905" s="545"/>
      <c r="K905" s="545"/>
      <c r="L905" s="545"/>
      <c r="M905" s="545"/>
      <c r="N905" s="545"/>
      <c r="O905" s="545"/>
      <c r="P905" s="545"/>
      <c r="Q905" s="545"/>
      <c r="R905" s="545"/>
      <c r="S905" s="545"/>
      <c r="W905" s="545"/>
      <c r="X905" s="545"/>
      <c r="Y905" s="545"/>
      <c r="Z905" s="545"/>
      <c r="AA905" s="545"/>
      <c r="AB905" s="545"/>
      <c r="AC905" s="545"/>
    </row>
    <row r="906" spans="1:29" ht="12.75" customHeight="1">
      <c r="A906" s="545"/>
      <c r="B906" s="545"/>
      <c r="C906" s="545"/>
      <c r="D906" s="545"/>
      <c r="E906" s="545"/>
      <c r="F906" s="545"/>
      <c r="H906" s="545"/>
      <c r="I906" s="545"/>
      <c r="J906" s="545"/>
      <c r="K906" s="545"/>
      <c r="L906" s="545"/>
      <c r="M906" s="545"/>
      <c r="N906" s="545"/>
      <c r="O906" s="545"/>
      <c r="P906" s="545"/>
      <c r="Q906" s="545"/>
      <c r="R906" s="545"/>
      <c r="S906" s="545"/>
      <c r="W906" s="545"/>
      <c r="X906" s="545"/>
      <c r="Y906" s="545"/>
      <c r="Z906" s="545"/>
      <c r="AA906" s="545"/>
      <c r="AB906" s="545"/>
      <c r="AC906" s="545"/>
    </row>
    <row r="907" spans="1:29" ht="12.75" customHeight="1">
      <c r="A907" s="545"/>
      <c r="B907" s="545"/>
      <c r="C907" s="545"/>
      <c r="D907" s="545"/>
      <c r="E907" s="545"/>
      <c r="F907" s="545"/>
      <c r="H907" s="545"/>
      <c r="I907" s="545"/>
      <c r="J907" s="545"/>
      <c r="K907" s="545"/>
      <c r="L907" s="545"/>
      <c r="M907" s="545"/>
      <c r="N907" s="545"/>
      <c r="O907" s="545"/>
      <c r="P907" s="545"/>
      <c r="Q907" s="545"/>
      <c r="R907" s="545"/>
      <c r="S907" s="545"/>
      <c r="W907" s="545"/>
      <c r="X907" s="545"/>
      <c r="Y907" s="545"/>
      <c r="Z907" s="545"/>
      <c r="AA907" s="545"/>
      <c r="AB907" s="545"/>
      <c r="AC907" s="545"/>
    </row>
    <row r="908" spans="1:29" ht="12.75" customHeight="1">
      <c r="A908" s="545"/>
      <c r="B908" s="545"/>
      <c r="C908" s="545"/>
      <c r="D908" s="545"/>
      <c r="E908" s="545"/>
      <c r="F908" s="545"/>
      <c r="H908" s="545"/>
      <c r="I908" s="545"/>
      <c r="J908" s="545"/>
      <c r="K908" s="545"/>
      <c r="L908" s="545"/>
      <c r="M908" s="545"/>
      <c r="N908" s="545"/>
      <c r="O908" s="545"/>
      <c r="P908" s="545"/>
      <c r="Q908" s="545"/>
      <c r="R908" s="545"/>
      <c r="S908" s="545"/>
      <c r="W908" s="545"/>
      <c r="X908" s="545"/>
      <c r="Y908" s="545"/>
      <c r="Z908" s="545"/>
      <c r="AA908" s="545"/>
      <c r="AB908" s="545"/>
      <c r="AC908" s="545"/>
    </row>
    <row r="909" spans="1:29" ht="12.75" customHeight="1">
      <c r="A909" s="545"/>
      <c r="B909" s="545"/>
      <c r="C909" s="545"/>
      <c r="D909" s="545"/>
      <c r="E909" s="545"/>
      <c r="F909" s="545"/>
      <c r="H909" s="545"/>
      <c r="I909" s="545"/>
      <c r="J909" s="545"/>
      <c r="K909" s="545"/>
      <c r="L909" s="545"/>
      <c r="M909" s="545"/>
      <c r="N909" s="545"/>
      <c r="O909" s="545"/>
      <c r="P909" s="545"/>
      <c r="Q909" s="545"/>
      <c r="R909" s="545"/>
      <c r="S909" s="545"/>
      <c r="W909" s="545"/>
      <c r="X909" s="545"/>
      <c r="Y909" s="545"/>
      <c r="Z909" s="545"/>
      <c r="AA909" s="545"/>
      <c r="AB909" s="545"/>
      <c r="AC909" s="545"/>
    </row>
    <row r="910" spans="1:29" ht="12.75" customHeight="1">
      <c r="A910" s="545"/>
      <c r="B910" s="545"/>
      <c r="C910" s="545"/>
      <c r="D910" s="545"/>
      <c r="E910" s="545"/>
      <c r="F910" s="545"/>
      <c r="H910" s="545"/>
      <c r="I910" s="545"/>
      <c r="J910" s="545"/>
      <c r="K910" s="545"/>
      <c r="L910" s="545"/>
      <c r="M910" s="545"/>
      <c r="N910" s="545"/>
      <c r="O910" s="545"/>
      <c r="P910" s="545"/>
      <c r="Q910" s="545"/>
      <c r="R910" s="545"/>
      <c r="S910" s="545"/>
      <c r="W910" s="545"/>
      <c r="X910" s="545"/>
      <c r="Y910" s="545"/>
      <c r="Z910" s="545"/>
      <c r="AA910" s="545"/>
      <c r="AB910" s="545"/>
      <c r="AC910" s="545"/>
    </row>
    <row r="911" spans="1:29" ht="12.75" customHeight="1">
      <c r="A911" s="545"/>
      <c r="B911" s="545"/>
      <c r="C911" s="545"/>
      <c r="D911" s="545"/>
      <c r="E911" s="545"/>
      <c r="F911" s="545"/>
      <c r="H911" s="545"/>
      <c r="I911" s="545"/>
      <c r="J911" s="545"/>
      <c r="K911" s="545"/>
      <c r="L911" s="545"/>
      <c r="M911" s="545"/>
      <c r="N911" s="545"/>
      <c r="O911" s="545"/>
      <c r="P911" s="545"/>
      <c r="Q911" s="545"/>
      <c r="R911" s="545"/>
      <c r="S911" s="545"/>
      <c r="W911" s="545"/>
      <c r="X911" s="545"/>
      <c r="Y911" s="545"/>
      <c r="Z911" s="545"/>
      <c r="AA911" s="545"/>
      <c r="AB911" s="545"/>
      <c r="AC911" s="545"/>
    </row>
    <row r="912" spans="1:29" ht="12.75" customHeight="1">
      <c r="A912" s="545"/>
      <c r="B912" s="545"/>
      <c r="C912" s="545"/>
      <c r="D912" s="545"/>
      <c r="E912" s="545"/>
      <c r="F912" s="545"/>
      <c r="H912" s="545"/>
      <c r="I912" s="545"/>
      <c r="J912" s="545"/>
      <c r="K912" s="545"/>
      <c r="L912" s="545"/>
      <c r="M912" s="545"/>
      <c r="N912" s="545"/>
      <c r="O912" s="545"/>
      <c r="P912" s="545"/>
      <c r="Q912" s="545"/>
      <c r="R912" s="545"/>
      <c r="S912" s="545"/>
      <c r="W912" s="545"/>
      <c r="X912" s="545"/>
      <c r="Y912" s="545"/>
      <c r="Z912" s="545"/>
      <c r="AA912" s="545"/>
      <c r="AB912" s="545"/>
      <c r="AC912" s="545"/>
    </row>
    <row r="913" spans="1:29" ht="12.75" customHeight="1">
      <c r="A913" s="545"/>
      <c r="B913" s="545"/>
      <c r="C913" s="545"/>
      <c r="D913" s="545"/>
      <c r="E913" s="545"/>
      <c r="F913" s="545"/>
      <c r="H913" s="545"/>
      <c r="I913" s="545"/>
      <c r="J913" s="545"/>
      <c r="K913" s="545"/>
      <c r="L913" s="545"/>
      <c r="M913" s="545"/>
      <c r="N913" s="545"/>
      <c r="O913" s="545"/>
      <c r="P913" s="545"/>
      <c r="Q913" s="545"/>
      <c r="R913" s="545"/>
      <c r="S913" s="545"/>
      <c r="W913" s="545"/>
      <c r="X913" s="545"/>
      <c r="Y913" s="545"/>
      <c r="Z913" s="545"/>
      <c r="AA913" s="545"/>
      <c r="AB913" s="545"/>
      <c r="AC913" s="545"/>
    </row>
    <row r="914" spans="1:29" ht="12.75" customHeight="1">
      <c r="A914" s="545"/>
      <c r="B914" s="545"/>
      <c r="C914" s="545"/>
      <c r="D914" s="545"/>
      <c r="E914" s="545"/>
      <c r="F914" s="545"/>
      <c r="H914" s="545"/>
      <c r="I914" s="545"/>
      <c r="J914" s="545"/>
      <c r="K914" s="545"/>
      <c r="L914" s="545"/>
      <c r="M914" s="545"/>
      <c r="N914" s="545"/>
      <c r="O914" s="545"/>
      <c r="P914" s="545"/>
      <c r="Q914" s="545"/>
      <c r="R914" s="545"/>
      <c r="S914" s="545"/>
      <c r="W914" s="545"/>
      <c r="X914" s="545"/>
      <c r="Y914" s="545"/>
      <c r="Z914" s="545"/>
      <c r="AA914" s="545"/>
      <c r="AB914" s="545"/>
      <c r="AC914" s="545"/>
    </row>
    <row r="915" spans="1:29" ht="12.75" customHeight="1">
      <c r="A915" s="545"/>
      <c r="B915" s="545"/>
      <c r="C915" s="545"/>
      <c r="D915" s="545"/>
      <c r="E915" s="545"/>
      <c r="F915" s="545"/>
      <c r="H915" s="545"/>
      <c r="I915" s="545"/>
      <c r="J915" s="545"/>
      <c r="K915" s="545"/>
      <c r="L915" s="545"/>
      <c r="M915" s="545"/>
      <c r="N915" s="545"/>
      <c r="O915" s="545"/>
      <c r="P915" s="545"/>
      <c r="Q915" s="545"/>
      <c r="R915" s="545"/>
      <c r="S915" s="545"/>
      <c r="W915" s="545"/>
      <c r="X915" s="545"/>
      <c r="Y915" s="545"/>
      <c r="Z915" s="545"/>
      <c r="AA915" s="545"/>
      <c r="AB915" s="545"/>
      <c r="AC915" s="545"/>
    </row>
    <row r="916" spans="1:29" ht="12.75" customHeight="1">
      <c r="A916" s="545"/>
      <c r="B916" s="545"/>
      <c r="C916" s="545"/>
      <c r="D916" s="545"/>
      <c r="E916" s="545"/>
      <c r="F916" s="545"/>
      <c r="H916" s="545"/>
      <c r="I916" s="545"/>
      <c r="J916" s="545"/>
      <c r="K916" s="545"/>
      <c r="L916" s="545"/>
      <c r="M916" s="545"/>
      <c r="N916" s="545"/>
      <c r="O916" s="545"/>
      <c r="P916" s="545"/>
      <c r="Q916" s="545"/>
      <c r="R916" s="545"/>
      <c r="S916" s="545"/>
      <c r="W916" s="545"/>
      <c r="X916" s="545"/>
      <c r="Y916" s="545"/>
      <c r="Z916" s="545"/>
      <c r="AA916" s="545"/>
      <c r="AB916" s="545"/>
      <c r="AC916" s="545"/>
    </row>
    <row r="917" spans="1:29" ht="12.75" customHeight="1">
      <c r="A917" s="545"/>
      <c r="B917" s="545"/>
      <c r="C917" s="545"/>
      <c r="D917" s="545"/>
      <c r="E917" s="545"/>
      <c r="F917" s="545"/>
      <c r="H917" s="545"/>
      <c r="I917" s="545"/>
      <c r="J917" s="545"/>
      <c r="K917" s="545"/>
      <c r="L917" s="545"/>
      <c r="M917" s="545"/>
      <c r="N917" s="545"/>
      <c r="O917" s="545"/>
      <c r="P917" s="545"/>
      <c r="Q917" s="545"/>
      <c r="R917" s="545"/>
      <c r="S917" s="545"/>
      <c r="W917" s="545"/>
      <c r="X917" s="545"/>
      <c r="Y917" s="545"/>
      <c r="Z917" s="545"/>
      <c r="AA917" s="545"/>
      <c r="AB917" s="545"/>
      <c r="AC917" s="545"/>
    </row>
    <row r="918" spans="1:29" ht="12.75" customHeight="1">
      <c r="A918" s="545"/>
      <c r="B918" s="545"/>
      <c r="C918" s="545"/>
      <c r="D918" s="545"/>
      <c r="E918" s="545"/>
      <c r="F918" s="545"/>
      <c r="H918" s="545"/>
      <c r="I918" s="545"/>
      <c r="J918" s="545"/>
      <c r="K918" s="545"/>
      <c r="L918" s="545"/>
      <c r="M918" s="545"/>
      <c r="N918" s="545"/>
      <c r="O918" s="545"/>
      <c r="P918" s="545"/>
      <c r="Q918" s="545"/>
      <c r="R918" s="545"/>
      <c r="S918" s="545"/>
      <c r="W918" s="545"/>
      <c r="X918" s="545"/>
      <c r="Y918" s="545"/>
      <c r="Z918" s="545"/>
      <c r="AA918" s="545"/>
      <c r="AB918" s="545"/>
      <c r="AC918" s="545"/>
    </row>
    <row r="919" spans="1:29" ht="12.75" customHeight="1">
      <c r="A919" s="545"/>
      <c r="B919" s="545"/>
      <c r="C919" s="545"/>
      <c r="D919" s="545"/>
      <c r="E919" s="545"/>
      <c r="F919" s="545"/>
      <c r="H919" s="545"/>
      <c r="I919" s="545"/>
      <c r="J919" s="545"/>
      <c r="K919" s="545"/>
      <c r="L919" s="545"/>
      <c r="M919" s="545"/>
      <c r="N919" s="545"/>
      <c r="O919" s="545"/>
      <c r="P919" s="545"/>
      <c r="Q919" s="545"/>
      <c r="R919" s="545"/>
      <c r="S919" s="545"/>
      <c r="W919" s="545"/>
      <c r="X919" s="545"/>
      <c r="Y919" s="545"/>
      <c r="Z919" s="545"/>
      <c r="AA919" s="545"/>
      <c r="AB919" s="545"/>
      <c r="AC919" s="545"/>
    </row>
    <row r="920" spans="1:29" ht="12.75" customHeight="1">
      <c r="A920" s="545"/>
      <c r="B920" s="545"/>
      <c r="C920" s="545"/>
      <c r="D920" s="545"/>
      <c r="E920" s="545"/>
      <c r="F920" s="545"/>
      <c r="H920" s="545"/>
      <c r="I920" s="545"/>
      <c r="J920" s="545"/>
      <c r="K920" s="545"/>
      <c r="L920" s="545"/>
      <c r="M920" s="545"/>
      <c r="N920" s="545"/>
      <c r="O920" s="545"/>
      <c r="P920" s="545"/>
      <c r="Q920" s="545"/>
      <c r="R920" s="545"/>
      <c r="S920" s="545"/>
      <c r="W920" s="545"/>
      <c r="X920" s="545"/>
      <c r="Y920" s="545"/>
      <c r="Z920" s="545"/>
      <c r="AA920" s="545"/>
      <c r="AB920" s="545"/>
      <c r="AC920" s="545"/>
    </row>
    <row r="921" spans="1:29" ht="12.75" customHeight="1">
      <c r="A921" s="545"/>
      <c r="B921" s="545"/>
      <c r="C921" s="545"/>
      <c r="D921" s="545"/>
      <c r="E921" s="545"/>
      <c r="F921" s="545"/>
      <c r="H921" s="545"/>
      <c r="I921" s="545"/>
      <c r="J921" s="545"/>
      <c r="K921" s="545"/>
      <c r="L921" s="545"/>
      <c r="M921" s="545"/>
      <c r="N921" s="545"/>
      <c r="O921" s="545"/>
      <c r="P921" s="545"/>
      <c r="Q921" s="545"/>
      <c r="R921" s="545"/>
      <c r="S921" s="545"/>
      <c r="W921" s="545"/>
      <c r="X921" s="545"/>
      <c r="Y921" s="545"/>
      <c r="Z921" s="545"/>
      <c r="AA921" s="545"/>
      <c r="AB921" s="545"/>
      <c r="AC921" s="545"/>
    </row>
    <row r="922" spans="1:29" ht="12.75" customHeight="1">
      <c r="A922" s="545"/>
      <c r="B922" s="545"/>
      <c r="C922" s="545"/>
      <c r="D922" s="545"/>
      <c r="E922" s="545"/>
      <c r="F922" s="545"/>
      <c r="H922" s="545"/>
      <c r="I922" s="545"/>
      <c r="J922" s="545"/>
      <c r="K922" s="545"/>
      <c r="L922" s="545"/>
      <c r="M922" s="545"/>
      <c r="N922" s="545"/>
      <c r="O922" s="545"/>
      <c r="P922" s="545"/>
      <c r="Q922" s="545"/>
      <c r="R922" s="545"/>
      <c r="S922" s="545"/>
      <c r="W922" s="545"/>
      <c r="X922" s="545"/>
      <c r="Y922" s="545"/>
      <c r="Z922" s="545"/>
      <c r="AA922" s="545"/>
      <c r="AB922" s="545"/>
      <c r="AC922" s="545"/>
    </row>
    <row r="923" spans="1:29" ht="12.75" customHeight="1">
      <c r="A923" s="545"/>
      <c r="B923" s="545"/>
      <c r="C923" s="545"/>
      <c r="D923" s="545"/>
      <c r="E923" s="545"/>
      <c r="F923" s="545"/>
      <c r="H923" s="545"/>
      <c r="I923" s="545"/>
      <c r="J923" s="545"/>
      <c r="K923" s="545"/>
      <c r="L923" s="545"/>
      <c r="M923" s="545"/>
      <c r="N923" s="545"/>
      <c r="O923" s="545"/>
      <c r="P923" s="545"/>
      <c r="Q923" s="545"/>
      <c r="R923" s="545"/>
      <c r="S923" s="545"/>
      <c r="W923" s="545"/>
      <c r="X923" s="545"/>
      <c r="Y923" s="545"/>
      <c r="Z923" s="545"/>
      <c r="AA923" s="545"/>
      <c r="AB923" s="545"/>
      <c r="AC923" s="545"/>
    </row>
    <row r="924" spans="1:29" ht="12.75" customHeight="1">
      <c r="A924" s="545"/>
      <c r="B924" s="545"/>
      <c r="C924" s="545"/>
      <c r="D924" s="545"/>
      <c r="E924" s="545"/>
      <c r="F924" s="545"/>
      <c r="H924" s="545"/>
      <c r="I924" s="545"/>
      <c r="J924" s="545"/>
      <c r="K924" s="545"/>
      <c r="L924" s="545"/>
      <c r="M924" s="545"/>
      <c r="N924" s="545"/>
      <c r="O924" s="545"/>
      <c r="P924" s="545"/>
      <c r="Q924" s="545"/>
      <c r="R924" s="545"/>
      <c r="S924" s="545"/>
      <c r="W924" s="545"/>
      <c r="X924" s="545"/>
      <c r="Y924" s="545"/>
      <c r="Z924" s="545"/>
      <c r="AA924" s="545"/>
      <c r="AB924" s="545"/>
      <c r="AC924" s="545"/>
    </row>
    <row r="925" spans="1:29" ht="12.75" customHeight="1">
      <c r="A925" s="545"/>
      <c r="B925" s="545"/>
      <c r="C925" s="545"/>
      <c r="D925" s="545"/>
      <c r="E925" s="545"/>
      <c r="F925" s="545"/>
      <c r="H925" s="545"/>
      <c r="I925" s="545"/>
      <c r="J925" s="545"/>
      <c r="K925" s="545"/>
      <c r="L925" s="545"/>
      <c r="M925" s="545"/>
      <c r="N925" s="545"/>
      <c r="O925" s="545"/>
      <c r="P925" s="545"/>
      <c r="Q925" s="545"/>
      <c r="R925" s="545"/>
      <c r="S925" s="545"/>
      <c r="W925" s="545"/>
      <c r="X925" s="545"/>
      <c r="Y925" s="545"/>
      <c r="Z925" s="545"/>
      <c r="AA925" s="545"/>
      <c r="AB925" s="545"/>
      <c r="AC925" s="545"/>
    </row>
    <row r="926" spans="1:29" ht="12.75" customHeight="1">
      <c r="A926" s="545"/>
      <c r="B926" s="545"/>
      <c r="C926" s="545"/>
      <c r="D926" s="545"/>
      <c r="E926" s="545"/>
      <c r="F926" s="545"/>
      <c r="H926" s="545"/>
      <c r="I926" s="545"/>
      <c r="J926" s="545"/>
      <c r="K926" s="545"/>
      <c r="L926" s="545"/>
      <c r="M926" s="545"/>
      <c r="N926" s="545"/>
      <c r="O926" s="545"/>
      <c r="P926" s="545"/>
      <c r="Q926" s="545"/>
      <c r="R926" s="545"/>
      <c r="S926" s="545"/>
      <c r="W926" s="545"/>
      <c r="X926" s="545"/>
      <c r="Y926" s="545"/>
      <c r="Z926" s="545"/>
      <c r="AA926" s="545"/>
      <c r="AB926" s="545"/>
      <c r="AC926" s="545"/>
    </row>
    <row r="927" spans="1:29" ht="12.75" customHeight="1">
      <c r="A927" s="545"/>
      <c r="B927" s="545"/>
      <c r="C927" s="545"/>
      <c r="D927" s="545"/>
      <c r="E927" s="545"/>
      <c r="F927" s="545"/>
      <c r="H927" s="545"/>
      <c r="I927" s="545"/>
      <c r="J927" s="545"/>
      <c r="K927" s="545"/>
      <c r="L927" s="545"/>
      <c r="M927" s="545"/>
      <c r="N927" s="545"/>
      <c r="O927" s="545"/>
      <c r="P927" s="545"/>
      <c r="Q927" s="545"/>
      <c r="R927" s="545"/>
      <c r="S927" s="545"/>
      <c r="W927" s="545"/>
      <c r="X927" s="545"/>
      <c r="Y927" s="545"/>
      <c r="Z927" s="545"/>
      <c r="AA927" s="545"/>
      <c r="AB927" s="545"/>
      <c r="AC927" s="545"/>
    </row>
    <row r="928" spans="1:29" ht="12.75" customHeight="1">
      <c r="A928" s="545"/>
      <c r="B928" s="545"/>
      <c r="C928" s="545"/>
      <c r="D928" s="545"/>
      <c r="E928" s="545"/>
      <c r="F928" s="545"/>
      <c r="H928" s="545"/>
      <c r="I928" s="545"/>
      <c r="J928" s="545"/>
      <c r="K928" s="545"/>
      <c r="L928" s="545"/>
      <c r="M928" s="545"/>
      <c r="N928" s="545"/>
      <c r="O928" s="545"/>
      <c r="P928" s="545"/>
      <c r="Q928" s="545"/>
      <c r="R928" s="545"/>
      <c r="S928" s="545"/>
      <c r="W928" s="545"/>
      <c r="X928" s="545"/>
      <c r="Y928" s="545"/>
      <c r="Z928" s="545"/>
      <c r="AA928" s="545"/>
      <c r="AB928" s="545"/>
      <c r="AC928" s="545"/>
    </row>
    <row r="929" spans="1:29" ht="12.75" customHeight="1">
      <c r="A929" s="545"/>
      <c r="B929" s="545"/>
      <c r="C929" s="545"/>
      <c r="D929" s="545"/>
      <c r="E929" s="545"/>
      <c r="F929" s="545"/>
      <c r="H929" s="545"/>
      <c r="I929" s="545"/>
      <c r="J929" s="545"/>
      <c r="K929" s="545"/>
      <c r="L929" s="545"/>
      <c r="M929" s="545"/>
      <c r="N929" s="545"/>
      <c r="O929" s="545"/>
      <c r="P929" s="545"/>
      <c r="Q929" s="545"/>
      <c r="R929" s="545"/>
      <c r="S929" s="545"/>
      <c r="W929" s="545"/>
      <c r="X929" s="545"/>
      <c r="Y929" s="545"/>
      <c r="Z929" s="545"/>
      <c r="AA929" s="545"/>
      <c r="AB929" s="545"/>
      <c r="AC929" s="545"/>
    </row>
    <row r="930" spans="1:29" ht="12.75" customHeight="1">
      <c r="A930" s="545"/>
      <c r="B930" s="545"/>
      <c r="C930" s="545"/>
      <c r="D930" s="545"/>
      <c r="E930" s="545"/>
      <c r="F930" s="545"/>
      <c r="H930" s="545"/>
      <c r="I930" s="545"/>
      <c r="J930" s="545"/>
      <c r="K930" s="545"/>
      <c r="L930" s="545"/>
      <c r="M930" s="545"/>
      <c r="N930" s="545"/>
      <c r="O930" s="545"/>
      <c r="P930" s="545"/>
      <c r="Q930" s="545"/>
      <c r="R930" s="545"/>
      <c r="S930" s="545"/>
      <c r="W930" s="545"/>
      <c r="X930" s="545"/>
      <c r="Y930" s="545"/>
      <c r="Z930" s="545"/>
      <c r="AA930" s="545"/>
      <c r="AB930" s="545"/>
      <c r="AC930" s="545"/>
    </row>
    <row r="931" spans="1:29" ht="12.75" customHeight="1">
      <c r="A931" s="545"/>
      <c r="B931" s="545"/>
      <c r="C931" s="545"/>
      <c r="D931" s="545"/>
      <c r="E931" s="545"/>
      <c r="F931" s="545"/>
      <c r="H931" s="545"/>
      <c r="I931" s="545"/>
      <c r="J931" s="545"/>
      <c r="K931" s="545"/>
      <c r="L931" s="545"/>
      <c r="M931" s="545"/>
      <c r="N931" s="545"/>
      <c r="O931" s="545"/>
      <c r="P931" s="545"/>
      <c r="Q931" s="545"/>
      <c r="R931" s="545"/>
      <c r="S931" s="545"/>
      <c r="W931" s="545"/>
      <c r="X931" s="545"/>
      <c r="Y931" s="545"/>
      <c r="Z931" s="545"/>
      <c r="AA931" s="545"/>
      <c r="AB931" s="545"/>
      <c r="AC931" s="545"/>
    </row>
    <row r="932" spans="1:29" ht="12.75" customHeight="1">
      <c r="A932" s="545"/>
      <c r="B932" s="545"/>
      <c r="C932" s="545"/>
      <c r="D932" s="545"/>
      <c r="E932" s="545"/>
      <c r="F932" s="545"/>
      <c r="H932" s="545"/>
      <c r="I932" s="545"/>
      <c r="J932" s="545"/>
      <c r="K932" s="545"/>
      <c r="L932" s="545"/>
      <c r="M932" s="545"/>
      <c r="N932" s="545"/>
      <c r="O932" s="545"/>
      <c r="P932" s="545"/>
      <c r="Q932" s="545"/>
      <c r="R932" s="545"/>
      <c r="S932" s="545"/>
      <c r="W932" s="545"/>
      <c r="X932" s="545"/>
      <c r="Y932" s="545"/>
      <c r="Z932" s="545"/>
      <c r="AA932" s="545"/>
      <c r="AB932" s="545"/>
      <c r="AC932" s="545"/>
    </row>
    <row r="933" spans="1:29" ht="12.75" customHeight="1">
      <c r="A933" s="545"/>
      <c r="B933" s="545"/>
      <c r="C933" s="545"/>
      <c r="D933" s="545"/>
      <c r="E933" s="545"/>
      <c r="F933" s="545"/>
      <c r="H933" s="545"/>
      <c r="I933" s="545"/>
      <c r="J933" s="545"/>
      <c r="K933" s="545"/>
      <c r="L933" s="545"/>
      <c r="M933" s="545"/>
      <c r="N933" s="545"/>
      <c r="O933" s="545"/>
      <c r="P933" s="545"/>
      <c r="Q933" s="545"/>
      <c r="R933" s="545"/>
      <c r="S933" s="545"/>
      <c r="W933" s="545"/>
      <c r="X933" s="545"/>
      <c r="Y933" s="545"/>
      <c r="Z933" s="545"/>
      <c r="AA933" s="545"/>
      <c r="AB933" s="545"/>
      <c r="AC933" s="545"/>
    </row>
    <row r="934" spans="1:29" ht="12.75" customHeight="1">
      <c r="A934" s="545"/>
      <c r="B934" s="545"/>
      <c r="C934" s="545"/>
      <c r="D934" s="545"/>
      <c r="E934" s="545"/>
      <c r="F934" s="545"/>
      <c r="H934" s="545"/>
      <c r="I934" s="545"/>
      <c r="J934" s="545"/>
      <c r="K934" s="545"/>
      <c r="L934" s="545"/>
      <c r="M934" s="545"/>
      <c r="N934" s="545"/>
      <c r="O934" s="545"/>
      <c r="P934" s="545"/>
      <c r="Q934" s="545"/>
      <c r="R934" s="545"/>
      <c r="S934" s="545"/>
      <c r="W934" s="545"/>
      <c r="X934" s="545"/>
      <c r="Y934" s="545"/>
      <c r="Z934" s="545"/>
      <c r="AA934" s="545"/>
      <c r="AB934" s="545"/>
      <c r="AC934" s="545"/>
    </row>
    <row r="935" spans="1:29" ht="12.75" customHeight="1">
      <c r="A935" s="545"/>
      <c r="B935" s="545"/>
      <c r="C935" s="545"/>
      <c r="D935" s="545"/>
      <c r="E935" s="545"/>
      <c r="F935" s="545"/>
      <c r="H935" s="545"/>
      <c r="I935" s="545"/>
      <c r="J935" s="545"/>
      <c r="K935" s="545"/>
      <c r="L935" s="545"/>
      <c r="M935" s="545"/>
      <c r="N935" s="545"/>
      <c r="O935" s="545"/>
      <c r="P935" s="545"/>
      <c r="Q935" s="545"/>
      <c r="R935" s="545"/>
      <c r="S935" s="545"/>
      <c r="W935" s="545"/>
      <c r="X935" s="545"/>
      <c r="Y935" s="545"/>
      <c r="Z935" s="545"/>
      <c r="AA935" s="545"/>
      <c r="AB935" s="545"/>
      <c r="AC935" s="545"/>
    </row>
    <row r="936" spans="1:29" ht="12.75" customHeight="1">
      <c r="A936" s="545"/>
      <c r="B936" s="545"/>
      <c r="C936" s="545"/>
      <c r="D936" s="545"/>
      <c r="E936" s="545"/>
      <c r="F936" s="545"/>
      <c r="H936" s="545"/>
      <c r="I936" s="545"/>
      <c r="J936" s="545"/>
      <c r="K936" s="545"/>
      <c r="L936" s="545"/>
      <c r="M936" s="545"/>
      <c r="N936" s="545"/>
      <c r="O936" s="545"/>
      <c r="P936" s="545"/>
      <c r="Q936" s="545"/>
      <c r="R936" s="545"/>
      <c r="S936" s="545"/>
      <c r="W936" s="545"/>
      <c r="X936" s="545"/>
      <c r="Y936" s="545"/>
      <c r="Z936" s="545"/>
      <c r="AA936" s="545"/>
      <c r="AB936" s="545"/>
      <c r="AC936" s="545"/>
    </row>
    <row r="937" spans="1:29" ht="12.75" customHeight="1">
      <c r="A937" s="545"/>
      <c r="B937" s="545"/>
      <c r="C937" s="545"/>
      <c r="D937" s="545"/>
      <c r="E937" s="545"/>
      <c r="F937" s="545"/>
      <c r="H937" s="545"/>
      <c r="I937" s="545"/>
      <c r="J937" s="545"/>
      <c r="K937" s="545"/>
      <c r="L937" s="545"/>
      <c r="M937" s="545"/>
      <c r="N937" s="545"/>
      <c r="O937" s="545"/>
      <c r="P937" s="545"/>
      <c r="Q937" s="545"/>
      <c r="R937" s="545"/>
      <c r="S937" s="545"/>
      <c r="W937" s="545"/>
      <c r="X937" s="545"/>
      <c r="Y937" s="545"/>
      <c r="Z937" s="545"/>
      <c r="AA937" s="545"/>
      <c r="AB937" s="545"/>
      <c r="AC937" s="545"/>
    </row>
    <row r="938" spans="1:29" ht="12.75" customHeight="1">
      <c r="A938" s="545"/>
      <c r="B938" s="545"/>
      <c r="C938" s="545"/>
      <c r="D938" s="545"/>
      <c r="E938" s="545"/>
      <c r="F938" s="545"/>
      <c r="H938" s="545"/>
      <c r="I938" s="545"/>
      <c r="J938" s="545"/>
      <c r="K938" s="545"/>
      <c r="L938" s="545"/>
      <c r="M938" s="545"/>
      <c r="N938" s="545"/>
      <c r="O938" s="545"/>
      <c r="P938" s="545"/>
      <c r="Q938" s="545"/>
      <c r="R938" s="545"/>
      <c r="S938" s="545"/>
      <c r="W938" s="545"/>
      <c r="X938" s="545"/>
      <c r="Y938" s="545"/>
      <c r="Z938" s="545"/>
      <c r="AA938" s="545"/>
      <c r="AB938" s="545"/>
      <c r="AC938" s="545"/>
    </row>
    <row r="939" spans="1:29" ht="12.75" customHeight="1">
      <c r="A939" s="545"/>
      <c r="B939" s="545"/>
      <c r="C939" s="545"/>
      <c r="D939" s="545"/>
      <c r="E939" s="545"/>
      <c r="F939" s="545"/>
      <c r="H939" s="545"/>
      <c r="I939" s="545"/>
      <c r="J939" s="545"/>
      <c r="K939" s="545"/>
      <c r="L939" s="545"/>
      <c r="M939" s="545"/>
      <c r="N939" s="545"/>
      <c r="O939" s="545"/>
      <c r="P939" s="545"/>
      <c r="Q939" s="545"/>
      <c r="R939" s="545"/>
      <c r="S939" s="545"/>
      <c r="W939" s="545"/>
      <c r="X939" s="545"/>
      <c r="Y939" s="545"/>
      <c r="Z939" s="545"/>
      <c r="AA939" s="545"/>
      <c r="AB939" s="545"/>
      <c r="AC939" s="545"/>
    </row>
    <row r="940" spans="1:29" ht="12.75" customHeight="1">
      <c r="A940" s="545"/>
      <c r="B940" s="545"/>
      <c r="C940" s="545"/>
      <c r="D940" s="545"/>
      <c r="E940" s="545"/>
      <c r="F940" s="545"/>
      <c r="H940" s="545"/>
      <c r="I940" s="545"/>
      <c r="J940" s="545"/>
      <c r="K940" s="545"/>
      <c r="L940" s="545"/>
      <c r="M940" s="545"/>
      <c r="N940" s="545"/>
      <c r="O940" s="545"/>
      <c r="P940" s="545"/>
      <c r="Q940" s="545"/>
      <c r="R940" s="545"/>
      <c r="S940" s="545"/>
      <c r="W940" s="545"/>
      <c r="X940" s="545"/>
      <c r="Y940" s="545"/>
      <c r="Z940" s="545"/>
      <c r="AA940" s="545"/>
      <c r="AB940" s="545"/>
      <c r="AC940" s="545"/>
    </row>
    <row r="941" spans="1:29" ht="12.75" customHeight="1">
      <c r="A941" s="545"/>
      <c r="B941" s="545"/>
      <c r="C941" s="545"/>
      <c r="D941" s="545"/>
      <c r="E941" s="545"/>
      <c r="F941" s="545"/>
      <c r="H941" s="545"/>
      <c r="I941" s="545"/>
      <c r="J941" s="545"/>
      <c r="K941" s="545"/>
      <c r="L941" s="545"/>
      <c r="M941" s="545"/>
      <c r="N941" s="545"/>
      <c r="O941" s="545"/>
      <c r="P941" s="545"/>
      <c r="Q941" s="545"/>
      <c r="R941" s="545"/>
      <c r="S941" s="545"/>
      <c r="W941" s="545"/>
      <c r="X941" s="545"/>
      <c r="Y941" s="545"/>
      <c r="Z941" s="545"/>
      <c r="AA941" s="545"/>
      <c r="AB941" s="545"/>
      <c r="AC941" s="545"/>
    </row>
    <row r="942" spans="1:29" ht="12.75" customHeight="1">
      <c r="A942" s="545"/>
      <c r="B942" s="545"/>
      <c r="C942" s="545"/>
      <c r="D942" s="545"/>
      <c r="E942" s="545"/>
      <c r="F942" s="545"/>
      <c r="H942" s="545"/>
      <c r="I942" s="545"/>
      <c r="J942" s="545"/>
      <c r="K942" s="545"/>
      <c r="L942" s="545"/>
      <c r="M942" s="545"/>
      <c r="N942" s="545"/>
      <c r="O942" s="545"/>
      <c r="P942" s="545"/>
      <c r="Q942" s="545"/>
      <c r="R942" s="545"/>
      <c r="S942" s="545"/>
      <c r="W942" s="545"/>
      <c r="X942" s="545"/>
      <c r="Y942" s="545"/>
      <c r="Z942" s="545"/>
      <c r="AA942" s="545"/>
      <c r="AB942" s="545"/>
      <c r="AC942" s="545"/>
    </row>
    <row r="943" spans="1:29" ht="12.75" customHeight="1">
      <c r="A943" s="545"/>
      <c r="B943" s="545"/>
      <c r="C943" s="545"/>
      <c r="D943" s="545"/>
      <c r="E943" s="545"/>
      <c r="F943" s="545"/>
      <c r="H943" s="545"/>
      <c r="I943" s="545"/>
      <c r="J943" s="545"/>
      <c r="K943" s="545"/>
      <c r="L943" s="545"/>
      <c r="M943" s="545"/>
      <c r="N943" s="545"/>
      <c r="O943" s="545"/>
      <c r="P943" s="545"/>
      <c r="Q943" s="545"/>
      <c r="R943" s="545"/>
      <c r="S943" s="545"/>
      <c r="W943" s="545"/>
      <c r="X943" s="545"/>
      <c r="Y943" s="545"/>
      <c r="Z943" s="545"/>
      <c r="AA943" s="545"/>
      <c r="AB943" s="545"/>
      <c r="AC943" s="545"/>
    </row>
    <row r="944" spans="1:29" ht="12.75" customHeight="1">
      <c r="A944" s="545"/>
      <c r="B944" s="545"/>
      <c r="C944" s="545"/>
      <c r="D944" s="545"/>
      <c r="E944" s="545"/>
      <c r="F944" s="545"/>
      <c r="H944" s="545"/>
      <c r="I944" s="545"/>
      <c r="J944" s="545"/>
      <c r="K944" s="545"/>
      <c r="L944" s="545"/>
      <c r="M944" s="545"/>
      <c r="N944" s="545"/>
      <c r="O944" s="545"/>
      <c r="P944" s="545"/>
      <c r="Q944" s="545"/>
      <c r="R944" s="545"/>
      <c r="S944" s="545"/>
      <c r="W944" s="545"/>
      <c r="X944" s="545"/>
      <c r="Y944" s="545"/>
      <c r="Z944" s="545"/>
      <c r="AA944" s="545"/>
      <c r="AB944" s="545"/>
      <c r="AC944" s="545"/>
    </row>
    <row r="945" spans="1:29" ht="12.75" customHeight="1">
      <c r="A945" s="545"/>
      <c r="B945" s="545"/>
      <c r="C945" s="545"/>
      <c r="D945" s="545"/>
      <c r="E945" s="545"/>
      <c r="F945" s="545"/>
      <c r="H945" s="545"/>
      <c r="I945" s="545"/>
      <c r="J945" s="545"/>
      <c r="K945" s="545"/>
      <c r="L945" s="545"/>
      <c r="M945" s="545"/>
      <c r="N945" s="545"/>
      <c r="O945" s="545"/>
      <c r="P945" s="545"/>
      <c r="Q945" s="545"/>
      <c r="R945" s="545"/>
      <c r="S945" s="545"/>
      <c r="W945" s="545"/>
      <c r="X945" s="545"/>
      <c r="Y945" s="545"/>
      <c r="Z945" s="545"/>
      <c r="AA945" s="545"/>
      <c r="AB945" s="545"/>
      <c r="AC945" s="545"/>
    </row>
    <row r="946" spans="1:29" ht="12.75" customHeight="1">
      <c r="A946" s="545"/>
      <c r="B946" s="545"/>
      <c r="C946" s="545"/>
      <c r="D946" s="545"/>
      <c r="E946" s="545"/>
      <c r="F946" s="545"/>
      <c r="H946" s="545"/>
      <c r="I946" s="545"/>
      <c r="J946" s="545"/>
      <c r="K946" s="545"/>
      <c r="L946" s="545"/>
      <c r="M946" s="545"/>
      <c r="N946" s="545"/>
      <c r="O946" s="545"/>
      <c r="P946" s="545"/>
      <c r="Q946" s="545"/>
      <c r="R946" s="545"/>
      <c r="S946" s="545"/>
      <c r="W946" s="545"/>
      <c r="X946" s="545"/>
      <c r="Y946" s="545"/>
      <c r="Z946" s="545"/>
      <c r="AA946" s="545"/>
      <c r="AB946" s="545"/>
      <c r="AC946" s="545"/>
    </row>
    <row r="947" spans="1:29" ht="12.75" customHeight="1">
      <c r="A947" s="545"/>
      <c r="B947" s="545"/>
      <c r="C947" s="545"/>
      <c r="D947" s="545"/>
      <c r="E947" s="545"/>
      <c r="F947" s="545"/>
      <c r="H947" s="545"/>
      <c r="I947" s="545"/>
      <c r="J947" s="545"/>
      <c r="K947" s="545"/>
      <c r="L947" s="545"/>
      <c r="M947" s="545"/>
      <c r="N947" s="545"/>
      <c r="O947" s="545"/>
      <c r="P947" s="545"/>
      <c r="Q947" s="545"/>
      <c r="R947" s="545"/>
      <c r="S947" s="545"/>
      <c r="W947" s="545"/>
      <c r="X947" s="545"/>
      <c r="Y947" s="545"/>
      <c r="Z947" s="545"/>
      <c r="AA947" s="545"/>
      <c r="AB947" s="545"/>
      <c r="AC947" s="545"/>
    </row>
    <row r="948" spans="1:29" ht="12.75" customHeight="1">
      <c r="A948" s="545"/>
      <c r="B948" s="545"/>
      <c r="C948" s="545"/>
      <c r="D948" s="545"/>
      <c r="E948" s="545"/>
      <c r="F948" s="545"/>
      <c r="H948" s="545"/>
      <c r="I948" s="545"/>
      <c r="J948" s="545"/>
      <c r="K948" s="545"/>
      <c r="L948" s="545"/>
      <c r="M948" s="545"/>
      <c r="N948" s="545"/>
      <c r="O948" s="545"/>
      <c r="P948" s="545"/>
      <c r="Q948" s="545"/>
      <c r="R948" s="545"/>
      <c r="S948" s="545"/>
      <c r="W948" s="545"/>
      <c r="X948" s="545"/>
      <c r="Y948" s="545"/>
      <c r="Z948" s="545"/>
      <c r="AA948" s="545"/>
      <c r="AB948" s="545"/>
      <c r="AC948" s="545"/>
    </row>
    <row r="949" spans="1:29" ht="12.75" customHeight="1">
      <c r="A949" s="545"/>
      <c r="B949" s="545"/>
      <c r="C949" s="545"/>
      <c r="D949" s="545"/>
      <c r="E949" s="545"/>
      <c r="F949" s="545"/>
      <c r="H949" s="545"/>
      <c r="I949" s="545"/>
      <c r="J949" s="545"/>
      <c r="K949" s="545"/>
      <c r="L949" s="545"/>
      <c r="M949" s="545"/>
      <c r="N949" s="545"/>
      <c r="O949" s="545"/>
      <c r="P949" s="545"/>
      <c r="Q949" s="545"/>
      <c r="R949" s="545"/>
      <c r="S949" s="545"/>
      <c r="W949" s="545"/>
      <c r="X949" s="545"/>
      <c r="Y949" s="545"/>
      <c r="Z949" s="545"/>
      <c r="AA949" s="545"/>
      <c r="AB949" s="545"/>
      <c r="AC949" s="545"/>
    </row>
    <row r="950" spans="1:29" ht="12.75" customHeight="1">
      <c r="A950" s="545"/>
      <c r="B950" s="545"/>
      <c r="C950" s="545"/>
      <c r="D950" s="545"/>
      <c r="E950" s="545"/>
      <c r="F950" s="545"/>
      <c r="H950" s="545"/>
      <c r="I950" s="545"/>
      <c r="J950" s="545"/>
      <c r="K950" s="545"/>
      <c r="L950" s="545"/>
      <c r="M950" s="545"/>
      <c r="N950" s="545"/>
      <c r="O950" s="545"/>
      <c r="P950" s="545"/>
      <c r="Q950" s="545"/>
      <c r="R950" s="545"/>
      <c r="S950" s="545"/>
      <c r="W950" s="545"/>
      <c r="X950" s="545"/>
      <c r="Y950" s="545"/>
      <c r="Z950" s="545"/>
      <c r="AA950" s="545"/>
      <c r="AB950" s="545"/>
      <c r="AC950" s="545"/>
    </row>
    <row r="951" spans="1:29" ht="12.75" customHeight="1">
      <c r="A951" s="545"/>
      <c r="B951" s="545"/>
      <c r="C951" s="545"/>
      <c r="D951" s="545"/>
      <c r="E951" s="545"/>
      <c r="F951" s="545"/>
      <c r="H951" s="545"/>
      <c r="I951" s="545"/>
      <c r="J951" s="545"/>
      <c r="K951" s="545"/>
      <c r="L951" s="545"/>
      <c r="M951" s="545"/>
      <c r="N951" s="545"/>
      <c r="O951" s="545"/>
      <c r="P951" s="545"/>
      <c r="Q951" s="545"/>
      <c r="R951" s="545"/>
      <c r="S951" s="545"/>
      <c r="W951" s="545"/>
      <c r="X951" s="545"/>
      <c r="Y951" s="545"/>
      <c r="Z951" s="545"/>
      <c r="AA951" s="545"/>
      <c r="AB951" s="545"/>
      <c r="AC951" s="545"/>
    </row>
    <row r="952" spans="1:29" ht="12.75" customHeight="1">
      <c r="A952" s="545"/>
      <c r="B952" s="545"/>
      <c r="C952" s="545"/>
      <c r="D952" s="545"/>
      <c r="E952" s="545"/>
      <c r="F952" s="545"/>
      <c r="H952" s="545"/>
      <c r="I952" s="545"/>
      <c r="J952" s="545"/>
      <c r="K952" s="545"/>
      <c r="L952" s="545"/>
      <c r="M952" s="545"/>
      <c r="N952" s="545"/>
      <c r="O952" s="545"/>
      <c r="P952" s="545"/>
      <c r="Q952" s="545"/>
      <c r="R952" s="545"/>
      <c r="S952" s="545"/>
      <c r="W952" s="545"/>
      <c r="X952" s="545"/>
      <c r="Y952" s="545"/>
      <c r="Z952" s="545"/>
      <c r="AA952" s="545"/>
      <c r="AB952" s="545"/>
      <c r="AC952" s="545"/>
    </row>
    <row r="953" spans="1:29" ht="12.75" customHeight="1">
      <c r="A953" s="545"/>
      <c r="B953" s="545"/>
      <c r="C953" s="545"/>
      <c r="D953" s="545"/>
      <c r="E953" s="545"/>
      <c r="F953" s="545"/>
      <c r="H953" s="545"/>
      <c r="I953" s="545"/>
      <c r="J953" s="545"/>
      <c r="K953" s="545"/>
      <c r="L953" s="545"/>
      <c r="M953" s="545"/>
      <c r="N953" s="545"/>
      <c r="O953" s="545"/>
      <c r="P953" s="545"/>
      <c r="Q953" s="545"/>
      <c r="R953" s="545"/>
      <c r="S953" s="545"/>
      <c r="W953" s="545"/>
      <c r="X953" s="545"/>
      <c r="Y953" s="545"/>
      <c r="Z953" s="545"/>
      <c r="AA953" s="545"/>
      <c r="AB953" s="545"/>
      <c r="AC953" s="545"/>
    </row>
    <row r="954" spans="1:29" ht="12.75" customHeight="1">
      <c r="A954" s="545"/>
      <c r="B954" s="545"/>
      <c r="C954" s="545"/>
      <c r="D954" s="545"/>
      <c r="E954" s="545"/>
      <c r="F954" s="545"/>
      <c r="H954" s="545"/>
      <c r="I954" s="545"/>
      <c r="J954" s="545"/>
      <c r="K954" s="545"/>
      <c r="L954" s="545"/>
      <c r="M954" s="545"/>
      <c r="N954" s="545"/>
      <c r="O954" s="545"/>
      <c r="P954" s="545"/>
      <c r="Q954" s="545"/>
      <c r="R954" s="545"/>
      <c r="S954" s="545"/>
      <c r="W954" s="545"/>
      <c r="X954" s="545"/>
      <c r="Y954" s="545"/>
      <c r="Z954" s="545"/>
      <c r="AA954" s="545"/>
      <c r="AB954" s="545"/>
      <c r="AC954" s="545"/>
    </row>
    <row r="955" spans="1:29" ht="12.75" customHeight="1">
      <c r="A955" s="545"/>
      <c r="B955" s="545"/>
      <c r="C955" s="545"/>
      <c r="D955" s="545"/>
      <c r="E955" s="545"/>
      <c r="F955" s="545"/>
      <c r="H955" s="545"/>
      <c r="I955" s="545"/>
      <c r="J955" s="545"/>
      <c r="K955" s="545"/>
      <c r="L955" s="545"/>
      <c r="M955" s="545"/>
      <c r="N955" s="545"/>
      <c r="O955" s="545"/>
      <c r="P955" s="545"/>
      <c r="Q955" s="545"/>
      <c r="R955" s="545"/>
      <c r="S955" s="545"/>
      <c r="W955" s="545"/>
      <c r="X955" s="545"/>
      <c r="Y955" s="545"/>
      <c r="Z955" s="545"/>
      <c r="AA955" s="545"/>
      <c r="AB955" s="545"/>
      <c r="AC955" s="545"/>
    </row>
    <row r="956" spans="1:29" ht="12.75" customHeight="1">
      <c r="A956" s="545"/>
      <c r="B956" s="545"/>
      <c r="C956" s="545"/>
      <c r="D956" s="545"/>
      <c r="E956" s="545"/>
      <c r="F956" s="545"/>
      <c r="H956" s="545"/>
      <c r="I956" s="545"/>
      <c r="J956" s="545"/>
      <c r="K956" s="545"/>
      <c r="L956" s="545"/>
      <c r="M956" s="545"/>
      <c r="N956" s="545"/>
      <c r="O956" s="545"/>
      <c r="P956" s="545"/>
      <c r="Q956" s="545"/>
      <c r="R956" s="545"/>
      <c r="S956" s="545"/>
      <c r="W956" s="545"/>
      <c r="X956" s="545"/>
      <c r="Y956" s="545"/>
      <c r="Z956" s="545"/>
      <c r="AA956" s="545"/>
      <c r="AB956" s="545"/>
      <c r="AC956" s="545"/>
    </row>
    <row r="957" spans="1:29" ht="12.75" customHeight="1">
      <c r="A957" s="545"/>
      <c r="B957" s="545"/>
      <c r="C957" s="545"/>
      <c r="D957" s="545"/>
      <c r="E957" s="545"/>
      <c r="F957" s="545"/>
      <c r="H957" s="545"/>
      <c r="I957" s="545"/>
      <c r="J957" s="545"/>
      <c r="K957" s="545"/>
      <c r="L957" s="545"/>
      <c r="M957" s="545"/>
      <c r="N957" s="545"/>
      <c r="O957" s="545"/>
      <c r="P957" s="545"/>
      <c r="Q957" s="545"/>
      <c r="R957" s="545"/>
      <c r="S957" s="545"/>
      <c r="W957" s="545"/>
      <c r="X957" s="545"/>
      <c r="Y957" s="545"/>
      <c r="Z957" s="545"/>
      <c r="AA957" s="545"/>
      <c r="AB957" s="545"/>
      <c r="AC957" s="545"/>
    </row>
    <row r="958" spans="1:29" ht="12.75" customHeight="1">
      <c r="A958" s="545"/>
      <c r="B958" s="545"/>
      <c r="C958" s="545"/>
      <c r="D958" s="545"/>
      <c r="E958" s="545"/>
      <c r="F958" s="545"/>
      <c r="H958" s="545"/>
      <c r="I958" s="545"/>
      <c r="J958" s="545"/>
      <c r="K958" s="545"/>
      <c r="L958" s="545"/>
      <c r="M958" s="545"/>
      <c r="N958" s="545"/>
      <c r="O958" s="545"/>
      <c r="P958" s="545"/>
      <c r="Q958" s="545"/>
      <c r="R958" s="545"/>
      <c r="S958" s="545"/>
      <c r="W958" s="545"/>
      <c r="X958" s="545"/>
      <c r="Y958" s="545"/>
      <c r="Z958" s="545"/>
      <c r="AA958" s="545"/>
      <c r="AB958" s="545"/>
      <c r="AC958" s="545"/>
    </row>
    <row r="959" spans="1:29" ht="12.75" customHeight="1">
      <c r="A959" s="545"/>
      <c r="B959" s="545"/>
      <c r="C959" s="545"/>
      <c r="D959" s="545"/>
      <c r="E959" s="545"/>
      <c r="F959" s="545"/>
      <c r="H959" s="545"/>
      <c r="I959" s="545"/>
      <c r="J959" s="545"/>
      <c r="K959" s="545"/>
      <c r="L959" s="545"/>
      <c r="M959" s="545"/>
      <c r="N959" s="545"/>
      <c r="O959" s="545"/>
      <c r="P959" s="545"/>
      <c r="Q959" s="545"/>
      <c r="R959" s="545"/>
      <c r="S959" s="545"/>
      <c r="W959" s="545"/>
      <c r="X959" s="545"/>
      <c r="Y959" s="545"/>
      <c r="Z959" s="545"/>
      <c r="AA959" s="545"/>
      <c r="AB959" s="545"/>
      <c r="AC959" s="545"/>
    </row>
    <row r="960" spans="1:29" ht="12.75" customHeight="1">
      <c r="A960" s="545"/>
      <c r="B960" s="545"/>
      <c r="C960" s="545"/>
      <c r="D960" s="545"/>
      <c r="E960" s="545"/>
      <c r="F960" s="545"/>
      <c r="H960" s="545"/>
      <c r="I960" s="545"/>
      <c r="J960" s="545"/>
      <c r="K960" s="545"/>
      <c r="L960" s="545"/>
      <c r="M960" s="545"/>
      <c r="N960" s="545"/>
      <c r="O960" s="545"/>
      <c r="P960" s="545"/>
      <c r="Q960" s="545"/>
      <c r="R960" s="545"/>
      <c r="S960" s="545"/>
      <c r="W960" s="545"/>
      <c r="X960" s="545"/>
      <c r="Y960" s="545"/>
      <c r="Z960" s="545"/>
      <c r="AA960" s="545"/>
      <c r="AB960" s="545"/>
      <c r="AC960" s="545"/>
    </row>
    <row r="961" spans="1:29" ht="12.75" customHeight="1">
      <c r="A961" s="545"/>
      <c r="B961" s="545"/>
      <c r="C961" s="545"/>
      <c r="D961" s="545"/>
      <c r="E961" s="545"/>
      <c r="F961" s="545"/>
      <c r="H961" s="545"/>
      <c r="I961" s="545"/>
      <c r="J961" s="545"/>
      <c r="K961" s="545"/>
      <c r="L961" s="545"/>
      <c r="M961" s="545"/>
      <c r="N961" s="545"/>
      <c r="O961" s="545"/>
      <c r="P961" s="545"/>
      <c r="Q961" s="545"/>
      <c r="R961" s="545"/>
      <c r="S961" s="545"/>
      <c r="W961" s="545"/>
      <c r="X961" s="545"/>
      <c r="Y961" s="545"/>
      <c r="Z961" s="545"/>
      <c r="AA961" s="545"/>
      <c r="AB961" s="545"/>
      <c r="AC961" s="545"/>
    </row>
    <row r="962" spans="1:29" ht="12.75" customHeight="1">
      <c r="A962" s="545"/>
      <c r="B962" s="545"/>
      <c r="C962" s="545"/>
      <c r="D962" s="545"/>
      <c r="E962" s="545"/>
      <c r="F962" s="545"/>
      <c r="H962" s="545"/>
      <c r="I962" s="545"/>
      <c r="J962" s="545"/>
      <c r="K962" s="545"/>
      <c r="L962" s="545"/>
      <c r="M962" s="545"/>
      <c r="N962" s="545"/>
      <c r="O962" s="545"/>
      <c r="P962" s="545"/>
      <c r="Q962" s="545"/>
      <c r="R962" s="545"/>
      <c r="S962" s="545"/>
      <c r="W962" s="545"/>
      <c r="X962" s="545"/>
      <c r="Y962" s="545"/>
      <c r="Z962" s="545"/>
      <c r="AA962" s="545"/>
      <c r="AB962" s="545"/>
      <c r="AC962" s="545"/>
    </row>
    <row r="963" spans="1:29" ht="12.75" customHeight="1">
      <c r="A963" s="545"/>
      <c r="B963" s="545"/>
      <c r="C963" s="545"/>
      <c r="D963" s="545"/>
      <c r="E963" s="545"/>
      <c r="F963" s="545"/>
      <c r="H963" s="545"/>
      <c r="I963" s="545"/>
      <c r="J963" s="545"/>
      <c r="K963" s="545"/>
      <c r="L963" s="545"/>
      <c r="M963" s="545"/>
      <c r="N963" s="545"/>
      <c r="O963" s="545"/>
      <c r="P963" s="545"/>
      <c r="Q963" s="545"/>
      <c r="R963" s="545"/>
      <c r="S963" s="545"/>
      <c r="W963" s="545"/>
      <c r="X963" s="545"/>
      <c r="Y963" s="545"/>
      <c r="Z963" s="545"/>
      <c r="AA963" s="545"/>
      <c r="AB963" s="545"/>
      <c r="AC963" s="545"/>
    </row>
    <row r="964" spans="1:29" ht="12.75" customHeight="1">
      <c r="A964" s="545"/>
      <c r="B964" s="545"/>
      <c r="C964" s="545"/>
      <c r="D964" s="545"/>
      <c r="E964" s="545"/>
      <c r="F964" s="545"/>
      <c r="H964" s="545"/>
      <c r="I964" s="545"/>
      <c r="J964" s="545"/>
      <c r="K964" s="545"/>
      <c r="L964" s="545"/>
      <c r="M964" s="545"/>
      <c r="N964" s="545"/>
      <c r="O964" s="545"/>
      <c r="P964" s="545"/>
      <c r="Q964" s="545"/>
      <c r="R964" s="545"/>
      <c r="S964" s="545"/>
      <c r="W964" s="545"/>
      <c r="X964" s="545"/>
      <c r="Y964" s="545"/>
      <c r="Z964" s="545"/>
      <c r="AA964" s="545"/>
      <c r="AB964" s="545"/>
      <c r="AC964" s="545"/>
    </row>
    <row r="965" spans="1:29" ht="12.75" customHeight="1">
      <c r="A965" s="545"/>
      <c r="B965" s="545"/>
      <c r="C965" s="545"/>
      <c r="D965" s="545"/>
      <c r="E965" s="545"/>
      <c r="F965" s="545"/>
      <c r="H965" s="545"/>
      <c r="I965" s="545"/>
      <c r="J965" s="545"/>
      <c r="K965" s="545"/>
      <c r="L965" s="545"/>
      <c r="M965" s="545"/>
      <c r="N965" s="545"/>
      <c r="O965" s="545"/>
      <c r="P965" s="545"/>
      <c r="Q965" s="545"/>
      <c r="R965" s="545"/>
      <c r="S965" s="545"/>
      <c r="W965" s="545"/>
      <c r="X965" s="545"/>
      <c r="Y965" s="545"/>
      <c r="Z965" s="545"/>
      <c r="AA965" s="545"/>
      <c r="AB965" s="545"/>
      <c r="AC965" s="545"/>
    </row>
    <row r="966" spans="1:29" ht="12.75" customHeight="1">
      <c r="A966" s="545"/>
      <c r="B966" s="545"/>
      <c r="C966" s="545"/>
      <c r="D966" s="545"/>
      <c r="E966" s="545"/>
      <c r="F966" s="545"/>
      <c r="H966" s="545"/>
      <c r="I966" s="545"/>
      <c r="J966" s="545"/>
      <c r="K966" s="545"/>
      <c r="L966" s="545"/>
      <c r="M966" s="545"/>
      <c r="N966" s="545"/>
      <c r="O966" s="545"/>
      <c r="P966" s="545"/>
      <c r="Q966" s="545"/>
      <c r="R966" s="545"/>
      <c r="S966" s="545"/>
      <c r="W966" s="545"/>
      <c r="X966" s="545"/>
      <c r="Y966" s="545"/>
      <c r="Z966" s="545"/>
      <c r="AA966" s="545"/>
      <c r="AB966" s="545"/>
      <c r="AC966" s="545"/>
    </row>
    <row r="967" spans="1:29" ht="12.75" customHeight="1">
      <c r="A967" s="545"/>
      <c r="B967" s="545"/>
      <c r="C967" s="545"/>
      <c r="D967" s="545"/>
      <c r="E967" s="545"/>
      <c r="F967" s="545"/>
      <c r="H967" s="545"/>
      <c r="I967" s="545"/>
      <c r="J967" s="545"/>
      <c r="K967" s="545"/>
      <c r="L967" s="545"/>
      <c r="M967" s="545"/>
      <c r="N967" s="545"/>
      <c r="O967" s="545"/>
      <c r="P967" s="545"/>
      <c r="Q967" s="545"/>
      <c r="R967" s="545"/>
      <c r="S967" s="545"/>
      <c r="W967" s="545"/>
      <c r="X967" s="545"/>
      <c r="Y967" s="545"/>
      <c r="Z967" s="545"/>
      <c r="AA967" s="545"/>
      <c r="AB967" s="545"/>
      <c r="AC967" s="545"/>
    </row>
    <row r="968" spans="1:29" ht="12.75" customHeight="1">
      <c r="A968" s="545"/>
      <c r="B968" s="545"/>
      <c r="C968" s="545"/>
      <c r="D968" s="545"/>
      <c r="E968" s="545"/>
      <c r="F968" s="545"/>
      <c r="H968" s="545"/>
      <c r="I968" s="545"/>
      <c r="J968" s="545"/>
      <c r="K968" s="545"/>
      <c r="L968" s="545"/>
      <c r="M968" s="545"/>
      <c r="N968" s="545"/>
      <c r="O968" s="545"/>
      <c r="P968" s="545"/>
      <c r="Q968" s="545"/>
      <c r="R968" s="545"/>
      <c r="S968" s="545"/>
      <c r="W968" s="545"/>
      <c r="X968" s="545"/>
      <c r="Y968" s="545"/>
      <c r="Z968" s="545"/>
      <c r="AA968" s="545"/>
      <c r="AB968" s="545"/>
      <c r="AC968" s="545"/>
    </row>
    <row r="969" spans="1:29" ht="12.75" customHeight="1">
      <c r="A969" s="545"/>
      <c r="B969" s="545"/>
      <c r="C969" s="545"/>
      <c r="D969" s="545"/>
      <c r="E969" s="545"/>
      <c r="F969" s="545"/>
      <c r="H969" s="545"/>
      <c r="I969" s="545"/>
      <c r="J969" s="545"/>
      <c r="K969" s="545"/>
      <c r="L969" s="545"/>
      <c r="M969" s="545"/>
      <c r="N969" s="545"/>
      <c r="O969" s="545"/>
      <c r="P969" s="545"/>
      <c r="Q969" s="545"/>
      <c r="R969" s="545"/>
      <c r="S969" s="545"/>
      <c r="W969" s="545"/>
      <c r="X969" s="545"/>
      <c r="Y969" s="545"/>
      <c r="Z969" s="545"/>
      <c r="AA969" s="545"/>
      <c r="AB969" s="545"/>
      <c r="AC969" s="545"/>
    </row>
    <row r="970" spans="1:29" ht="12.75" customHeight="1">
      <c r="A970" s="545"/>
      <c r="B970" s="545"/>
      <c r="C970" s="545"/>
      <c r="D970" s="545"/>
      <c r="E970" s="545"/>
      <c r="F970" s="545"/>
      <c r="H970" s="545"/>
      <c r="I970" s="545"/>
      <c r="J970" s="545"/>
      <c r="K970" s="545"/>
      <c r="L970" s="545"/>
      <c r="M970" s="545"/>
      <c r="N970" s="545"/>
      <c r="O970" s="545"/>
      <c r="P970" s="545"/>
      <c r="Q970" s="545"/>
      <c r="R970" s="545"/>
      <c r="S970" s="545"/>
      <c r="W970" s="545"/>
      <c r="X970" s="545"/>
      <c r="Y970" s="545"/>
      <c r="Z970" s="545"/>
      <c r="AA970" s="545"/>
      <c r="AB970" s="545"/>
      <c r="AC970" s="545"/>
    </row>
    <row r="971" spans="1:29" ht="12.75" customHeight="1">
      <c r="A971" s="545"/>
      <c r="B971" s="545"/>
      <c r="C971" s="545"/>
      <c r="D971" s="545"/>
      <c r="E971" s="545"/>
      <c r="F971" s="545"/>
      <c r="H971" s="545"/>
      <c r="I971" s="545"/>
      <c r="J971" s="545"/>
      <c r="K971" s="545"/>
      <c r="L971" s="545"/>
      <c r="M971" s="545"/>
      <c r="N971" s="545"/>
      <c r="O971" s="545"/>
      <c r="P971" s="545"/>
      <c r="Q971" s="545"/>
      <c r="R971" s="545"/>
      <c r="S971" s="545"/>
      <c r="W971" s="545"/>
      <c r="X971" s="545"/>
      <c r="Y971" s="545"/>
      <c r="Z971" s="545"/>
      <c r="AA971" s="545"/>
      <c r="AB971" s="545"/>
      <c r="AC971" s="545"/>
    </row>
    <row r="972" spans="1:29" ht="12.75" customHeight="1">
      <c r="A972" s="545"/>
      <c r="B972" s="545"/>
      <c r="C972" s="545"/>
      <c r="D972" s="545"/>
      <c r="E972" s="545"/>
      <c r="F972" s="545"/>
      <c r="H972" s="545"/>
      <c r="I972" s="545"/>
      <c r="J972" s="545"/>
      <c r="K972" s="545"/>
      <c r="L972" s="545"/>
      <c r="M972" s="545"/>
      <c r="N972" s="545"/>
      <c r="O972" s="545"/>
      <c r="P972" s="545"/>
      <c r="Q972" s="545"/>
      <c r="R972" s="545"/>
      <c r="S972" s="545"/>
      <c r="W972" s="545"/>
      <c r="X972" s="545"/>
      <c r="Y972" s="545"/>
      <c r="Z972" s="545"/>
      <c r="AA972" s="545"/>
      <c r="AB972" s="545"/>
      <c r="AC972" s="545"/>
    </row>
    <row r="973" spans="1:29" ht="12.75" customHeight="1">
      <c r="A973" s="545"/>
      <c r="B973" s="545"/>
      <c r="C973" s="545"/>
      <c r="D973" s="545"/>
      <c r="E973" s="545"/>
      <c r="F973" s="545"/>
      <c r="H973" s="545"/>
      <c r="I973" s="545"/>
      <c r="J973" s="545"/>
      <c r="K973" s="545"/>
      <c r="L973" s="545"/>
      <c r="M973" s="545"/>
      <c r="N973" s="545"/>
      <c r="O973" s="545"/>
      <c r="P973" s="545"/>
      <c r="Q973" s="545"/>
      <c r="R973" s="545"/>
      <c r="S973" s="545"/>
      <c r="W973" s="545"/>
      <c r="X973" s="545"/>
      <c r="Y973" s="545"/>
      <c r="Z973" s="545"/>
      <c r="AA973" s="545"/>
      <c r="AB973" s="545"/>
      <c r="AC973" s="545"/>
    </row>
    <row r="974" spans="1:29" ht="12.75" customHeight="1">
      <c r="A974" s="545"/>
      <c r="B974" s="545"/>
      <c r="C974" s="545"/>
      <c r="D974" s="545"/>
      <c r="E974" s="545"/>
      <c r="F974" s="545"/>
      <c r="H974" s="545"/>
      <c r="I974" s="545"/>
      <c r="J974" s="545"/>
      <c r="K974" s="545"/>
      <c r="L974" s="545"/>
      <c r="M974" s="545"/>
      <c r="N974" s="545"/>
      <c r="O974" s="545"/>
      <c r="P974" s="545"/>
      <c r="Q974" s="545"/>
      <c r="R974" s="545"/>
      <c r="S974" s="545"/>
      <c r="W974" s="545"/>
      <c r="X974" s="545"/>
      <c r="Y974" s="545"/>
      <c r="Z974" s="545"/>
      <c r="AA974" s="545"/>
      <c r="AB974" s="545"/>
      <c r="AC974" s="545"/>
    </row>
    <row r="975" spans="1:29" ht="12.75" customHeight="1">
      <c r="A975" s="545"/>
      <c r="B975" s="545"/>
      <c r="C975" s="545"/>
      <c r="D975" s="545"/>
      <c r="E975" s="545"/>
      <c r="F975" s="545"/>
      <c r="H975" s="545"/>
      <c r="I975" s="545"/>
      <c r="J975" s="545"/>
      <c r="K975" s="545"/>
      <c r="L975" s="545"/>
      <c r="M975" s="545"/>
      <c r="N975" s="545"/>
      <c r="O975" s="545"/>
      <c r="P975" s="545"/>
      <c r="Q975" s="545"/>
      <c r="R975" s="545"/>
      <c r="S975" s="545"/>
      <c r="W975" s="545"/>
      <c r="X975" s="545"/>
      <c r="Y975" s="545"/>
      <c r="Z975" s="545"/>
      <c r="AA975" s="545"/>
      <c r="AB975" s="545"/>
      <c r="AC975" s="545"/>
    </row>
    <row r="976" spans="1:29" ht="12.75" customHeight="1">
      <c r="A976" s="545"/>
      <c r="B976" s="545"/>
      <c r="C976" s="545"/>
      <c r="D976" s="545"/>
      <c r="E976" s="545"/>
      <c r="F976" s="545"/>
      <c r="H976" s="545"/>
      <c r="I976" s="545"/>
      <c r="J976" s="545"/>
      <c r="K976" s="545"/>
      <c r="L976" s="545"/>
      <c r="M976" s="545"/>
      <c r="N976" s="545"/>
      <c r="O976" s="545"/>
      <c r="P976" s="545"/>
      <c r="Q976" s="545"/>
      <c r="R976" s="545"/>
      <c r="S976" s="545"/>
      <c r="W976" s="545"/>
      <c r="X976" s="545"/>
      <c r="Y976" s="545"/>
      <c r="Z976" s="545"/>
      <c r="AA976" s="545"/>
      <c r="AB976" s="545"/>
      <c r="AC976" s="545"/>
    </row>
    <row r="977" spans="1:29" ht="12.75" customHeight="1">
      <c r="A977" s="545"/>
      <c r="B977" s="545"/>
      <c r="C977" s="545"/>
      <c r="D977" s="545"/>
      <c r="E977" s="545"/>
      <c r="F977" s="545"/>
      <c r="H977" s="545"/>
      <c r="I977" s="545"/>
      <c r="J977" s="545"/>
      <c r="K977" s="545"/>
      <c r="L977" s="545"/>
      <c r="M977" s="545"/>
      <c r="N977" s="545"/>
      <c r="O977" s="545"/>
      <c r="P977" s="545"/>
      <c r="Q977" s="545"/>
      <c r="R977" s="545"/>
      <c r="S977" s="545"/>
      <c r="W977" s="545"/>
      <c r="X977" s="545"/>
      <c r="Y977" s="545"/>
      <c r="Z977" s="545"/>
      <c r="AA977" s="545"/>
      <c r="AB977" s="545"/>
      <c r="AC977" s="545"/>
    </row>
    <row r="978" spans="1:29" ht="12.75" customHeight="1">
      <c r="A978" s="545"/>
      <c r="B978" s="545"/>
      <c r="C978" s="545"/>
      <c r="D978" s="545"/>
      <c r="E978" s="545"/>
      <c r="F978" s="545"/>
      <c r="H978" s="545"/>
      <c r="I978" s="545"/>
      <c r="J978" s="545"/>
      <c r="K978" s="545"/>
      <c r="L978" s="545"/>
      <c r="M978" s="545"/>
      <c r="N978" s="545"/>
      <c r="O978" s="545"/>
      <c r="P978" s="545"/>
      <c r="Q978" s="545"/>
      <c r="R978" s="545"/>
      <c r="S978" s="545"/>
      <c r="W978" s="545"/>
      <c r="X978" s="545"/>
      <c r="Y978" s="545"/>
      <c r="Z978" s="545"/>
      <c r="AA978" s="545"/>
      <c r="AB978" s="545"/>
      <c r="AC978" s="545"/>
    </row>
    <row r="979" spans="1:29" ht="12.75" customHeight="1">
      <c r="A979" s="545"/>
      <c r="B979" s="545"/>
      <c r="C979" s="545"/>
      <c r="D979" s="545"/>
      <c r="E979" s="545"/>
      <c r="F979" s="545"/>
      <c r="H979" s="545"/>
      <c r="I979" s="545"/>
      <c r="J979" s="545"/>
      <c r="K979" s="545"/>
      <c r="L979" s="545"/>
      <c r="M979" s="545"/>
      <c r="N979" s="545"/>
      <c r="O979" s="545"/>
      <c r="P979" s="545"/>
      <c r="Q979" s="545"/>
      <c r="R979" s="545"/>
      <c r="S979" s="545"/>
      <c r="W979" s="545"/>
      <c r="X979" s="545"/>
      <c r="Y979" s="545"/>
      <c r="Z979" s="545"/>
      <c r="AA979" s="545"/>
      <c r="AB979" s="545"/>
      <c r="AC979" s="545"/>
    </row>
    <row r="980" spans="1:29" ht="12.75" customHeight="1">
      <c r="A980" s="545"/>
      <c r="B980" s="545"/>
      <c r="C980" s="545"/>
      <c r="D980" s="545"/>
      <c r="E980" s="545"/>
      <c r="F980" s="545"/>
      <c r="H980" s="545"/>
      <c r="I980" s="545"/>
      <c r="J980" s="545"/>
      <c r="K980" s="545"/>
      <c r="L980" s="545"/>
      <c r="M980" s="545"/>
      <c r="N980" s="545"/>
      <c r="O980" s="545"/>
      <c r="P980" s="545"/>
      <c r="Q980" s="545"/>
      <c r="R980" s="545"/>
      <c r="S980" s="545"/>
      <c r="W980" s="545"/>
      <c r="X980" s="545"/>
      <c r="Y980" s="545"/>
      <c r="Z980" s="545"/>
      <c r="AA980" s="545"/>
      <c r="AB980" s="545"/>
      <c r="AC980" s="545"/>
    </row>
    <row r="981" spans="1:29" ht="12.75" customHeight="1">
      <c r="A981" s="545"/>
      <c r="B981" s="545"/>
      <c r="C981" s="545"/>
      <c r="D981" s="545"/>
      <c r="E981" s="545"/>
      <c r="F981" s="545"/>
      <c r="H981" s="545"/>
      <c r="I981" s="545"/>
      <c r="J981" s="545"/>
      <c r="K981" s="545"/>
      <c r="L981" s="545"/>
      <c r="M981" s="545"/>
      <c r="N981" s="545"/>
      <c r="O981" s="545"/>
      <c r="P981" s="545"/>
      <c r="Q981" s="545"/>
      <c r="R981" s="545"/>
      <c r="S981" s="545"/>
      <c r="W981" s="545"/>
      <c r="X981" s="545"/>
      <c r="Y981" s="545"/>
      <c r="Z981" s="545"/>
      <c r="AA981" s="545"/>
      <c r="AB981" s="545"/>
      <c r="AC981" s="545"/>
    </row>
    <row r="982" spans="1:29" ht="12.75" customHeight="1">
      <c r="A982" s="545"/>
      <c r="B982" s="545"/>
      <c r="C982" s="545"/>
      <c r="D982" s="545"/>
      <c r="E982" s="545"/>
      <c r="F982" s="545"/>
      <c r="H982" s="545"/>
      <c r="I982" s="545"/>
      <c r="J982" s="545"/>
      <c r="K982" s="545"/>
      <c r="L982" s="545"/>
      <c r="M982" s="545"/>
      <c r="N982" s="545"/>
      <c r="O982" s="545"/>
      <c r="P982" s="545"/>
      <c r="Q982" s="545"/>
      <c r="R982" s="545"/>
      <c r="S982" s="545"/>
      <c r="W982" s="545"/>
      <c r="X982" s="545"/>
      <c r="Y982" s="545"/>
      <c r="Z982" s="545"/>
      <c r="AA982" s="545"/>
      <c r="AB982" s="545"/>
      <c r="AC982" s="545"/>
    </row>
    <row r="983" spans="1:29" ht="12.75" customHeight="1">
      <c r="A983" s="545"/>
      <c r="B983" s="545"/>
      <c r="C983" s="545"/>
      <c r="D983" s="545"/>
      <c r="E983" s="545"/>
      <c r="F983" s="545"/>
      <c r="H983" s="545"/>
      <c r="I983" s="545"/>
      <c r="J983" s="545"/>
      <c r="K983" s="545"/>
      <c r="L983" s="545"/>
      <c r="M983" s="545"/>
      <c r="N983" s="545"/>
      <c r="O983" s="545"/>
      <c r="P983" s="545"/>
      <c r="Q983" s="545"/>
      <c r="R983" s="545"/>
      <c r="S983" s="545"/>
      <c r="W983" s="545"/>
      <c r="X983" s="545"/>
      <c r="Y983" s="545"/>
      <c r="Z983" s="545"/>
      <c r="AA983" s="545"/>
      <c r="AB983" s="545"/>
      <c r="AC983" s="545"/>
    </row>
    <row r="984" spans="1:29" ht="12.75" customHeight="1">
      <c r="A984" s="545"/>
      <c r="B984" s="545"/>
      <c r="C984" s="545"/>
      <c r="D984" s="545"/>
      <c r="E984" s="545"/>
      <c r="F984" s="545"/>
      <c r="H984" s="545"/>
      <c r="I984" s="545"/>
      <c r="J984" s="545"/>
      <c r="K984" s="545"/>
      <c r="L984" s="545"/>
      <c r="M984" s="545"/>
      <c r="N984" s="545"/>
      <c r="O984" s="545"/>
      <c r="P984" s="545"/>
      <c r="Q984" s="545"/>
      <c r="R984" s="545"/>
      <c r="S984" s="545"/>
      <c r="W984" s="545"/>
      <c r="X984" s="545"/>
      <c r="Y984" s="545"/>
      <c r="Z984" s="545"/>
      <c r="AA984" s="545"/>
      <c r="AB984" s="545"/>
      <c r="AC984" s="545"/>
    </row>
    <row r="985" spans="1:29" ht="12.75" customHeight="1">
      <c r="A985" s="545"/>
      <c r="B985" s="545"/>
      <c r="C985" s="545"/>
      <c r="D985" s="545"/>
      <c r="E985" s="545"/>
      <c r="F985" s="545"/>
      <c r="H985" s="545"/>
      <c r="I985" s="545"/>
      <c r="J985" s="545"/>
      <c r="K985" s="545"/>
      <c r="L985" s="545"/>
      <c r="M985" s="545"/>
      <c r="N985" s="545"/>
      <c r="O985" s="545"/>
      <c r="P985" s="545"/>
      <c r="Q985" s="545"/>
      <c r="R985" s="545"/>
      <c r="S985" s="545"/>
      <c r="W985" s="545"/>
      <c r="X985" s="545"/>
      <c r="Y985" s="545"/>
      <c r="Z985" s="545"/>
      <c r="AA985" s="545"/>
      <c r="AB985" s="545"/>
      <c r="AC985" s="545"/>
    </row>
    <row r="986" spans="1:29" ht="12.75" customHeight="1">
      <c r="A986" s="545"/>
      <c r="B986" s="545"/>
      <c r="C986" s="545"/>
      <c r="D986" s="545"/>
      <c r="E986" s="545"/>
      <c r="F986" s="545"/>
      <c r="H986" s="545"/>
      <c r="I986" s="545"/>
      <c r="J986" s="545"/>
      <c r="K986" s="545"/>
      <c r="L986" s="545"/>
      <c r="M986" s="545"/>
      <c r="N986" s="545"/>
      <c r="O986" s="545"/>
      <c r="P986" s="545"/>
      <c r="Q986" s="545"/>
      <c r="R986" s="545"/>
      <c r="S986" s="545"/>
      <c r="W986" s="545"/>
      <c r="X986" s="545"/>
      <c r="Y986" s="545"/>
      <c r="Z986" s="545"/>
      <c r="AA986" s="545"/>
      <c r="AB986" s="545"/>
      <c r="AC986" s="545"/>
    </row>
    <row r="987" spans="1:29" ht="12.75" customHeight="1">
      <c r="A987" s="545"/>
      <c r="B987" s="545"/>
      <c r="C987" s="545"/>
      <c r="D987" s="545"/>
      <c r="E987" s="545"/>
      <c r="F987" s="545"/>
      <c r="H987" s="545"/>
      <c r="I987" s="545"/>
      <c r="J987" s="545"/>
      <c r="K987" s="545"/>
      <c r="L987" s="545"/>
      <c r="M987" s="545"/>
      <c r="N987" s="545"/>
      <c r="O987" s="545"/>
      <c r="P987" s="545"/>
      <c r="Q987" s="545"/>
      <c r="R987" s="545"/>
      <c r="S987" s="545"/>
      <c r="W987" s="545"/>
      <c r="X987" s="545"/>
      <c r="Y987" s="545"/>
      <c r="Z987" s="545"/>
      <c r="AA987" s="545"/>
      <c r="AB987" s="545"/>
      <c r="AC987" s="545"/>
    </row>
    <row r="988" spans="1:29" ht="12.75" customHeight="1">
      <c r="A988" s="545"/>
      <c r="B988" s="545"/>
      <c r="C988" s="545"/>
      <c r="D988" s="545"/>
      <c r="E988" s="545"/>
      <c r="F988" s="545"/>
      <c r="H988" s="545"/>
      <c r="I988" s="545"/>
      <c r="J988" s="545"/>
      <c r="K988" s="545"/>
      <c r="L988" s="545"/>
      <c r="M988" s="545"/>
      <c r="N988" s="545"/>
      <c r="O988" s="545"/>
      <c r="P988" s="545"/>
      <c r="Q988" s="545"/>
      <c r="R988" s="545"/>
      <c r="S988" s="545"/>
      <c r="W988" s="545"/>
      <c r="X988" s="545"/>
      <c r="Y988" s="545"/>
      <c r="Z988" s="545"/>
      <c r="AA988" s="545"/>
      <c r="AB988" s="545"/>
      <c r="AC988" s="545"/>
    </row>
    <row r="989" spans="1:29" ht="12.75" customHeight="1">
      <c r="A989" s="545"/>
      <c r="B989" s="545"/>
      <c r="C989" s="545"/>
      <c r="D989" s="545"/>
      <c r="E989" s="545"/>
      <c r="F989" s="545"/>
      <c r="H989" s="545"/>
      <c r="I989" s="545"/>
      <c r="J989" s="545"/>
      <c r="K989" s="545"/>
      <c r="L989" s="545"/>
      <c r="M989" s="545"/>
      <c r="N989" s="545"/>
      <c r="O989" s="545"/>
      <c r="P989" s="545"/>
      <c r="Q989" s="545"/>
      <c r="R989" s="545"/>
      <c r="S989" s="545"/>
      <c r="W989" s="545"/>
      <c r="X989" s="545"/>
      <c r="Y989" s="545"/>
      <c r="Z989" s="545"/>
      <c r="AA989" s="545"/>
      <c r="AB989" s="545"/>
      <c r="AC989" s="545"/>
    </row>
    <row r="990" spans="1:29" ht="12.75" customHeight="1">
      <c r="A990" s="545"/>
      <c r="B990" s="545"/>
      <c r="C990" s="545"/>
      <c r="D990" s="545"/>
      <c r="E990" s="545"/>
      <c r="F990" s="545"/>
      <c r="H990" s="545"/>
      <c r="I990" s="545"/>
      <c r="J990" s="545"/>
      <c r="K990" s="545"/>
      <c r="L990" s="545"/>
      <c r="M990" s="545"/>
      <c r="N990" s="545"/>
      <c r="O990" s="545"/>
      <c r="P990" s="545"/>
      <c r="Q990" s="545"/>
      <c r="R990" s="545"/>
      <c r="S990" s="545"/>
      <c r="W990" s="545"/>
      <c r="X990" s="545"/>
      <c r="Y990" s="545"/>
      <c r="Z990" s="545"/>
      <c r="AA990" s="545"/>
      <c r="AB990" s="545"/>
      <c r="AC990" s="545"/>
    </row>
    <row r="991" spans="1:29" ht="12.75" customHeight="1">
      <c r="A991" s="545"/>
      <c r="B991" s="545"/>
      <c r="C991" s="545"/>
      <c r="D991" s="545"/>
      <c r="E991" s="545"/>
      <c r="F991" s="545"/>
      <c r="H991" s="545"/>
      <c r="I991" s="545"/>
      <c r="J991" s="545"/>
      <c r="K991" s="545"/>
      <c r="L991" s="545"/>
      <c r="M991" s="545"/>
      <c r="N991" s="545"/>
      <c r="O991" s="545"/>
      <c r="P991" s="545"/>
      <c r="Q991" s="545"/>
      <c r="R991" s="545"/>
      <c r="S991" s="545"/>
      <c r="W991" s="545"/>
      <c r="X991" s="545"/>
      <c r="Y991" s="545"/>
      <c r="Z991" s="545"/>
      <c r="AA991" s="545"/>
      <c r="AB991" s="545"/>
      <c r="AC991" s="545"/>
    </row>
    <row r="992" spans="1:29" ht="12.75" customHeight="1">
      <c r="A992" s="545"/>
      <c r="B992" s="545"/>
      <c r="C992" s="545"/>
      <c r="D992" s="545"/>
      <c r="E992" s="545"/>
      <c r="F992" s="545"/>
      <c r="H992" s="545"/>
      <c r="I992" s="545"/>
      <c r="J992" s="545"/>
      <c r="K992" s="545"/>
      <c r="L992" s="545"/>
      <c r="M992" s="545"/>
      <c r="N992" s="545"/>
      <c r="O992" s="545"/>
      <c r="P992" s="545"/>
      <c r="Q992" s="545"/>
      <c r="R992" s="545"/>
      <c r="S992" s="545"/>
      <c r="W992" s="545"/>
      <c r="X992" s="545"/>
      <c r="Y992" s="545"/>
      <c r="Z992" s="545"/>
      <c r="AA992" s="545"/>
      <c r="AB992" s="545"/>
      <c r="AC992" s="545"/>
    </row>
    <row r="993" spans="1:29" ht="12.75" customHeight="1">
      <c r="A993" s="545"/>
      <c r="B993" s="545"/>
      <c r="C993" s="545"/>
      <c r="D993" s="545"/>
      <c r="E993" s="545"/>
      <c r="F993" s="545"/>
      <c r="H993" s="545"/>
      <c r="I993" s="545"/>
      <c r="J993" s="545"/>
      <c r="K993" s="545"/>
      <c r="L993" s="545"/>
      <c r="M993" s="545"/>
      <c r="N993" s="545"/>
      <c r="O993" s="545"/>
      <c r="P993" s="545"/>
      <c r="Q993" s="545"/>
      <c r="R993" s="545"/>
      <c r="S993" s="545"/>
      <c r="W993" s="545"/>
      <c r="X993" s="545"/>
      <c r="Y993" s="545"/>
      <c r="Z993" s="545"/>
      <c r="AA993" s="545"/>
      <c r="AB993" s="545"/>
      <c r="AC993" s="545"/>
    </row>
  </sheetData>
  <mergeCells count="30">
    <mergeCell ref="B21:G21"/>
    <mergeCell ref="I21:N21"/>
    <mergeCell ref="P21:U21"/>
    <mergeCell ref="B28:W28"/>
    <mergeCell ref="A1:W1"/>
    <mergeCell ref="A2:W2"/>
    <mergeCell ref="B4:W4"/>
    <mergeCell ref="B5:G5"/>
    <mergeCell ref="I5:N5"/>
    <mergeCell ref="P5:U5"/>
    <mergeCell ref="B12:W12"/>
    <mergeCell ref="B13:G13"/>
    <mergeCell ref="I13:N13"/>
    <mergeCell ref="P13:U13"/>
    <mergeCell ref="B20:W20"/>
    <mergeCell ref="B53:W53"/>
    <mergeCell ref="B54:G54"/>
    <mergeCell ref="I54:N54"/>
    <mergeCell ref="P54:U54"/>
    <mergeCell ref="B29:G29"/>
    <mergeCell ref="I29:N29"/>
    <mergeCell ref="P29:U29"/>
    <mergeCell ref="B45:G45"/>
    <mergeCell ref="I45:N45"/>
    <mergeCell ref="P45:U45"/>
    <mergeCell ref="B36:W36"/>
    <mergeCell ref="B37:G37"/>
    <mergeCell ref="I37:N37"/>
    <mergeCell ref="P37:U37"/>
    <mergeCell ref="B44:W44"/>
  </mergeCells>
  <phoneticPr fontId="26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>
    <tabColor rgb="FFFFFF00"/>
  </sheetPr>
  <dimension ref="A1:V55"/>
  <sheetViews>
    <sheetView workbookViewId="0"/>
  </sheetViews>
  <sheetFormatPr defaultRowHeight="12.75"/>
  <cols>
    <col min="1" max="1" width="23" bestFit="1" customWidth="1"/>
    <col min="2" max="2" width="10.42578125" style="356" bestFit="1" customWidth="1"/>
    <col min="3" max="3" width="8.42578125" bestFit="1" customWidth="1"/>
    <col min="4" max="4" width="10.85546875" style="356" bestFit="1" customWidth="1"/>
    <col min="5" max="5" width="8.42578125" bestFit="1" customWidth="1"/>
    <col min="6" max="6" width="11.7109375" style="356" customWidth="1"/>
    <col min="7" max="7" width="5.85546875" customWidth="1"/>
    <col min="8" max="8" width="11.7109375" style="356" customWidth="1"/>
    <col min="9" max="9" width="11.85546875" style="356" bestFit="1" customWidth="1"/>
    <col min="10" max="11" width="11.85546875" bestFit="1" customWidth="1"/>
    <col min="12" max="12" width="11.85546875" customWidth="1"/>
    <col min="13" max="13" width="5.5703125" customWidth="1"/>
    <col min="14" max="14" width="11" style="356" customWidth="1"/>
    <col min="15" max="18" width="11.140625" customWidth="1"/>
    <col min="19" max="19" width="11.28515625" bestFit="1" customWidth="1"/>
    <col min="21" max="21" width="10.28515625" bestFit="1" customWidth="1"/>
  </cols>
  <sheetData>
    <row r="1" spans="1:22">
      <c r="G1" s="355" t="s">
        <v>319</v>
      </c>
      <c r="H1" s="430"/>
    </row>
    <row r="2" spans="1:22">
      <c r="G2" s="355" t="s">
        <v>320</v>
      </c>
      <c r="H2" s="430"/>
    </row>
    <row r="3" spans="1:22" s="356" customFormat="1">
      <c r="E3" s="355"/>
      <c r="F3" s="355"/>
    </row>
    <row r="4" spans="1:22">
      <c r="B4" s="407" t="s">
        <v>276</v>
      </c>
      <c r="C4" s="407" t="s">
        <v>11</v>
      </c>
      <c r="D4" s="407" t="s">
        <v>12</v>
      </c>
      <c r="E4" s="407" t="s">
        <v>13</v>
      </c>
      <c r="F4" s="407" t="s">
        <v>14</v>
      </c>
      <c r="H4" s="407" t="s">
        <v>276</v>
      </c>
      <c r="I4" s="407" t="s">
        <v>11</v>
      </c>
      <c r="J4" s="407" t="s">
        <v>12</v>
      </c>
      <c r="K4" s="407" t="s">
        <v>13</v>
      </c>
      <c r="L4" s="407" t="s">
        <v>14</v>
      </c>
      <c r="N4" s="407" t="s">
        <v>277</v>
      </c>
      <c r="O4" s="407" t="s">
        <v>11</v>
      </c>
      <c r="P4" s="407" t="s">
        <v>12</v>
      </c>
      <c r="Q4" s="407" t="s">
        <v>13</v>
      </c>
      <c r="R4" s="407" t="s">
        <v>14</v>
      </c>
    </row>
    <row r="5" spans="1:22" ht="15">
      <c r="A5" s="424" t="s">
        <v>248</v>
      </c>
      <c r="B5" s="406" t="s">
        <v>228</v>
      </c>
      <c r="C5" s="406" t="s">
        <v>228</v>
      </c>
      <c r="D5" s="406" t="s">
        <v>228</v>
      </c>
      <c r="E5" s="406" t="s">
        <v>228</v>
      </c>
      <c r="F5" s="406" t="s">
        <v>228</v>
      </c>
      <c r="H5" s="406" t="s">
        <v>229</v>
      </c>
      <c r="I5" s="406" t="s">
        <v>229</v>
      </c>
      <c r="J5" s="406" t="s">
        <v>229</v>
      </c>
      <c r="K5" s="406" t="s">
        <v>229</v>
      </c>
      <c r="L5" s="406" t="s">
        <v>229</v>
      </c>
      <c r="N5" s="406" t="s">
        <v>23</v>
      </c>
      <c r="O5" s="406" t="s">
        <v>23</v>
      </c>
      <c r="P5" s="406" t="s">
        <v>23</v>
      </c>
      <c r="Q5" s="406" t="s">
        <v>23</v>
      </c>
      <c r="R5" s="406" t="s">
        <v>23</v>
      </c>
      <c r="S5" s="435" t="s">
        <v>275</v>
      </c>
      <c r="T5" s="435" t="s">
        <v>275</v>
      </c>
      <c r="U5" s="435" t="s">
        <v>275</v>
      </c>
      <c r="V5" s="435" t="s">
        <v>275</v>
      </c>
    </row>
    <row r="6" spans="1:22" ht="15">
      <c r="A6" s="405" t="s">
        <v>249</v>
      </c>
      <c r="B6" s="289">
        <f>+'Sales 2015'!C9</f>
        <v>47</v>
      </c>
      <c r="C6" s="289">
        <f>+'Sales 2015'!F9</f>
        <v>67</v>
      </c>
      <c r="D6" s="289">
        <f>+'Sales 2015'!U9</f>
        <v>92</v>
      </c>
      <c r="E6" s="289">
        <f>+'Sales 2015'!AJ9</f>
        <v>119</v>
      </c>
      <c r="F6" s="289">
        <f>+'Sales 2015'!AY9</f>
        <v>156</v>
      </c>
      <c r="H6" s="289">
        <f>+'Sales 2015'!I9</f>
        <v>172</v>
      </c>
      <c r="I6" s="289">
        <f>+'Sales 2015'!L9</f>
        <v>217</v>
      </c>
      <c r="J6" s="289">
        <f>+'Sales 2015'!AA9</f>
        <v>270</v>
      </c>
      <c r="K6" s="289">
        <f>+'Sales 2015'!AP9</f>
        <v>329</v>
      </c>
      <c r="L6" s="241">
        <f>+'Sales 2015'!BE9</f>
        <v>402</v>
      </c>
      <c r="N6" s="413">
        <f t="shared" ref="N6:R8" si="0">+B6+H6</f>
        <v>219</v>
      </c>
      <c r="O6" s="413">
        <f t="shared" si="0"/>
        <v>284</v>
      </c>
      <c r="P6" s="413">
        <f t="shared" si="0"/>
        <v>362</v>
      </c>
      <c r="Q6" s="413">
        <f t="shared" si="0"/>
        <v>448</v>
      </c>
      <c r="R6" s="413">
        <f t="shared" si="0"/>
        <v>558</v>
      </c>
      <c r="S6" s="358">
        <f t="shared" ref="S6:T9" si="1">+O6-N6</f>
        <v>65</v>
      </c>
      <c r="T6" s="358">
        <f t="shared" si="1"/>
        <v>78</v>
      </c>
      <c r="U6" s="358">
        <f t="shared" ref="U6:V9" si="2">+Q6-P6</f>
        <v>86</v>
      </c>
      <c r="V6" s="358">
        <f t="shared" si="2"/>
        <v>110</v>
      </c>
    </row>
    <row r="7" spans="1:22" ht="15">
      <c r="A7" s="405" t="s">
        <v>230</v>
      </c>
      <c r="B7" s="289">
        <f>+'Sales 2015'!C29</f>
        <v>2</v>
      </c>
      <c r="C7" s="289">
        <f>+'Sales 2015'!F29</f>
        <v>4</v>
      </c>
      <c r="D7" s="289">
        <f>+'Sales 2015'!U29</f>
        <v>13</v>
      </c>
      <c r="E7" s="289">
        <f>+'Sales 2015'!AJ29</f>
        <v>21</v>
      </c>
      <c r="F7" s="289">
        <f>+'Sales 2015'!AY29</f>
        <v>34</v>
      </c>
      <c r="H7" s="289">
        <f>+'Sales 2015'!I29</f>
        <v>1</v>
      </c>
      <c r="I7" s="289">
        <f>+'Sales 2015'!L29</f>
        <v>6</v>
      </c>
      <c r="J7" s="289">
        <f>+'Sales 2015'!AA29</f>
        <v>16</v>
      </c>
      <c r="K7" s="289">
        <f>+'Sales 2015'!AP29</f>
        <v>31</v>
      </c>
      <c r="L7" s="241">
        <f>+'Sales 2015'!BE29</f>
        <v>46</v>
      </c>
      <c r="N7" s="413">
        <f t="shared" si="0"/>
        <v>3</v>
      </c>
      <c r="O7" s="413">
        <f t="shared" si="0"/>
        <v>10</v>
      </c>
      <c r="P7" s="413">
        <f t="shared" si="0"/>
        <v>29</v>
      </c>
      <c r="Q7" s="413">
        <f t="shared" si="0"/>
        <v>52</v>
      </c>
      <c r="R7" s="413">
        <f t="shared" si="0"/>
        <v>80</v>
      </c>
      <c r="S7" s="358">
        <f t="shared" si="1"/>
        <v>7</v>
      </c>
      <c r="T7" s="358">
        <f t="shared" si="1"/>
        <v>19</v>
      </c>
      <c r="U7" s="358">
        <f t="shared" si="2"/>
        <v>23</v>
      </c>
      <c r="V7" s="358">
        <f t="shared" si="2"/>
        <v>28</v>
      </c>
    </row>
    <row r="8" spans="1:22" ht="15">
      <c r="A8" s="405" t="s">
        <v>231</v>
      </c>
      <c r="B8" s="289">
        <f>+'Sales 2015'!C49</f>
        <v>1</v>
      </c>
      <c r="C8" s="289">
        <f>+'Sales 2015'!F49</f>
        <v>1</v>
      </c>
      <c r="D8" s="289">
        <f>+'Sales 2015'!U49</f>
        <v>1</v>
      </c>
      <c r="E8" s="289">
        <f>+'Sales 2015'!AJ49</f>
        <v>11</v>
      </c>
      <c r="F8" s="289">
        <f>+'Sales 2015'!AY49</f>
        <v>20</v>
      </c>
      <c r="G8" s="356"/>
      <c r="H8" s="289">
        <f>+'Sales 2015'!I49</f>
        <v>0</v>
      </c>
      <c r="I8" s="289">
        <f>+'Sales 2015'!L49</f>
        <v>7</v>
      </c>
      <c r="J8" s="289">
        <f>+'Sales 2015'!AA49</f>
        <v>17</v>
      </c>
      <c r="K8" s="289">
        <f>+'Sales 2015'!AP49</f>
        <v>28</v>
      </c>
      <c r="L8" s="241">
        <f>+'Sales 2015'!BE49</f>
        <v>58</v>
      </c>
      <c r="N8" s="413">
        <f t="shared" si="0"/>
        <v>1</v>
      </c>
      <c r="O8" s="413">
        <f t="shared" si="0"/>
        <v>8</v>
      </c>
      <c r="P8" s="413">
        <f t="shared" si="0"/>
        <v>18</v>
      </c>
      <c r="Q8" s="413">
        <f t="shared" si="0"/>
        <v>39</v>
      </c>
      <c r="R8" s="413">
        <f t="shared" si="0"/>
        <v>78</v>
      </c>
      <c r="S8" s="358">
        <f t="shared" si="1"/>
        <v>7</v>
      </c>
      <c r="T8" s="358">
        <f t="shared" si="1"/>
        <v>10</v>
      </c>
      <c r="U8" s="358">
        <f t="shared" si="2"/>
        <v>21</v>
      </c>
      <c r="V8" s="358">
        <f t="shared" si="2"/>
        <v>39</v>
      </c>
    </row>
    <row r="9" spans="1:22" ht="15">
      <c r="A9" s="408" t="s">
        <v>23</v>
      </c>
      <c r="B9" s="409">
        <f>SUM(B6:B8)</f>
        <v>50</v>
      </c>
      <c r="C9" s="409">
        <f>SUM(C6:C8)</f>
        <v>72</v>
      </c>
      <c r="D9" s="409">
        <f>SUM(D6:D8)</f>
        <v>106</v>
      </c>
      <c r="E9" s="409">
        <f>SUM(E6:E8)</f>
        <v>151</v>
      </c>
      <c r="F9" s="409">
        <f>SUM(F6:F8)</f>
        <v>210</v>
      </c>
      <c r="G9" s="410">
        <f>+F9-'Sales 2015'!AY69</f>
        <v>0</v>
      </c>
      <c r="H9" s="409">
        <f>SUM(H6:H8)</f>
        <v>173</v>
      </c>
      <c r="I9" s="409">
        <f>SUM(I6:I8)</f>
        <v>230</v>
      </c>
      <c r="J9" s="409">
        <f>SUM(J6:J8)</f>
        <v>303</v>
      </c>
      <c r="K9" s="409">
        <f>SUM(K6:K8)</f>
        <v>388</v>
      </c>
      <c r="L9" s="409">
        <f>SUM(L6:L8)</f>
        <v>506</v>
      </c>
      <c r="M9" s="411">
        <f>+L9-'Sales 2015'!BE69</f>
        <v>0</v>
      </c>
      <c r="N9" s="414">
        <f>SUM(N6:N8)</f>
        <v>223</v>
      </c>
      <c r="O9" s="414">
        <f>SUM(O6:O8)</f>
        <v>302</v>
      </c>
      <c r="P9" s="414">
        <f>SUM(P6:P8)</f>
        <v>409</v>
      </c>
      <c r="Q9" s="414">
        <f>SUM(Q6:Q8)</f>
        <v>539</v>
      </c>
      <c r="R9" s="414">
        <f>SUM(R6:R8)</f>
        <v>716</v>
      </c>
      <c r="S9" s="358">
        <f t="shared" si="1"/>
        <v>79</v>
      </c>
      <c r="T9" s="358">
        <f>+P9-O9</f>
        <v>107</v>
      </c>
      <c r="U9" s="358">
        <f t="shared" si="2"/>
        <v>130</v>
      </c>
      <c r="V9" s="358">
        <f t="shared" si="2"/>
        <v>177</v>
      </c>
    </row>
    <row r="10" spans="1:22" ht="15">
      <c r="A10" s="367"/>
      <c r="B10" s="416"/>
      <c r="C10" s="416">
        <f>+C9/B9-1</f>
        <v>0.43999999999999995</v>
      </c>
      <c r="D10" s="416">
        <f>+D9/C9-1</f>
        <v>0.47222222222222232</v>
      </c>
      <c r="E10" s="416">
        <f>+E9/D9-1</f>
        <v>0.42452830188679247</v>
      </c>
      <c r="F10" s="416">
        <f>+F9/E9-1</f>
        <v>0.39072847682119205</v>
      </c>
      <c r="G10" s="357"/>
      <c r="H10" s="416"/>
      <c r="I10" s="416">
        <f>+I9/H9-1</f>
        <v>0.32947976878612706</v>
      </c>
      <c r="J10" s="416">
        <f>+J9/I9-1</f>
        <v>0.31739130434782603</v>
      </c>
      <c r="K10" s="416">
        <f>+K9/J9-1</f>
        <v>0.28052805280528048</v>
      </c>
      <c r="L10" s="416">
        <f>+L9/K9-1</f>
        <v>0.30412371134020622</v>
      </c>
      <c r="M10" s="356"/>
      <c r="N10" s="416"/>
      <c r="O10" s="416">
        <f>+O9/N9-1</f>
        <v>0.35426008968609857</v>
      </c>
      <c r="P10" s="416">
        <f>+P9/O9-1</f>
        <v>0.35430463576158933</v>
      </c>
      <c r="Q10" s="416">
        <f>+Q9/P9-1</f>
        <v>0.31784841075794623</v>
      </c>
      <c r="R10" s="416">
        <f>+R9/Q9-1</f>
        <v>0.3283858998144713</v>
      </c>
    </row>
    <row r="13" spans="1:22">
      <c r="A13" s="356"/>
      <c r="B13" s="407" t="s">
        <v>277</v>
      </c>
      <c r="C13" s="407" t="s">
        <v>11</v>
      </c>
      <c r="D13" s="407" t="s">
        <v>12</v>
      </c>
      <c r="E13" s="407" t="s">
        <v>13</v>
      </c>
      <c r="F13" s="407" t="s">
        <v>14</v>
      </c>
      <c r="G13" s="356"/>
      <c r="H13" s="407" t="s">
        <v>277</v>
      </c>
      <c r="I13" s="407" t="s">
        <v>11</v>
      </c>
      <c r="J13" s="407" t="s">
        <v>12</v>
      </c>
      <c r="K13" s="407" t="s">
        <v>13</v>
      </c>
      <c r="L13" s="407" t="s">
        <v>14</v>
      </c>
      <c r="N13" s="407" t="s">
        <v>277</v>
      </c>
      <c r="O13" s="407" t="s">
        <v>11</v>
      </c>
      <c r="P13" s="407" t="s">
        <v>12</v>
      </c>
      <c r="Q13" s="407" t="s">
        <v>13</v>
      </c>
      <c r="R13" s="407" t="s">
        <v>14</v>
      </c>
    </row>
    <row r="14" spans="1:22" ht="15">
      <c r="A14" s="424" t="s">
        <v>241</v>
      </c>
      <c r="B14" s="406" t="s">
        <v>228</v>
      </c>
      <c r="C14" s="406" t="s">
        <v>228</v>
      </c>
      <c r="D14" s="406" t="s">
        <v>228</v>
      </c>
      <c r="E14" s="406" t="s">
        <v>228</v>
      </c>
      <c r="F14" s="406" t="s">
        <v>228</v>
      </c>
      <c r="G14" s="356"/>
      <c r="H14" s="406" t="s">
        <v>229</v>
      </c>
      <c r="I14" s="406" t="s">
        <v>229</v>
      </c>
      <c r="J14" s="406" t="s">
        <v>229</v>
      </c>
      <c r="K14" s="406" t="s">
        <v>229</v>
      </c>
      <c r="L14" s="406" t="s">
        <v>229</v>
      </c>
      <c r="N14" s="406" t="s">
        <v>23</v>
      </c>
      <c r="O14" s="406" t="s">
        <v>23</v>
      </c>
      <c r="P14" s="406" t="s">
        <v>23</v>
      </c>
      <c r="Q14" s="406" t="s">
        <v>23</v>
      </c>
      <c r="R14" s="406" t="s">
        <v>23</v>
      </c>
      <c r="S14" s="435" t="s">
        <v>275</v>
      </c>
      <c r="T14" s="435" t="s">
        <v>275</v>
      </c>
      <c r="U14" s="435" t="s">
        <v>275</v>
      </c>
      <c r="V14" s="435" t="s">
        <v>275</v>
      </c>
    </row>
    <row r="15" spans="1:22" ht="15">
      <c r="A15" s="405" t="s">
        <v>249</v>
      </c>
      <c r="B15" s="413">
        <f>+'Sales 2015'!C18</f>
        <v>10454.6</v>
      </c>
      <c r="C15" s="413">
        <f>+'Sales 2015'!F18</f>
        <v>12645.9</v>
      </c>
      <c r="D15" s="413">
        <f>+'Sales 2015'!U18</f>
        <v>18209.144</v>
      </c>
      <c r="E15" s="413">
        <f>+'Sales 2015'!AJ18</f>
        <v>24796.802400000004</v>
      </c>
      <c r="F15" s="413">
        <f>+'Sales 2015'!AY18</f>
        <v>34305.074160000004</v>
      </c>
      <c r="G15" s="357"/>
      <c r="H15" s="413">
        <f>+'Sales 2015'!I18</f>
        <v>4679.3999999999996</v>
      </c>
      <c r="I15" s="413">
        <f>+'Sales 2015'!L18</f>
        <v>6627.6</v>
      </c>
      <c r="J15" s="413">
        <f>+'Sales 2015'!AA18</f>
        <v>9205.739999999998</v>
      </c>
      <c r="K15" s="413">
        <f>+'Sales 2015'!AP18</f>
        <v>13904.543000000001</v>
      </c>
      <c r="L15" s="348">
        <f>+'Sales 2015'!BE18</f>
        <v>22110.589500000002</v>
      </c>
      <c r="N15" s="413">
        <f>+B15+H15</f>
        <v>15134</v>
      </c>
      <c r="O15" s="413">
        <f>+C15+I15</f>
        <v>19273.5</v>
      </c>
      <c r="P15" s="413">
        <f>+D15+J15</f>
        <v>27414.883999999998</v>
      </c>
      <c r="Q15" s="413">
        <f>+E15+K15</f>
        <v>38701.345400000006</v>
      </c>
      <c r="R15" s="413">
        <f>+F15+L15</f>
        <v>56415.663660000006</v>
      </c>
      <c r="S15" s="358">
        <f t="shared" ref="S15:V18" si="3">+O15-N15</f>
        <v>4139.5</v>
      </c>
      <c r="T15" s="358">
        <f t="shared" si="3"/>
        <v>8141.3839999999982</v>
      </c>
      <c r="U15" s="358">
        <f t="shared" si="3"/>
        <v>11286.461400000007</v>
      </c>
      <c r="V15" s="358">
        <f t="shared" si="3"/>
        <v>17714.31826</v>
      </c>
    </row>
    <row r="16" spans="1:22" ht="15">
      <c r="A16" s="405" t="s">
        <v>230</v>
      </c>
      <c r="B16" s="413">
        <f>+'Sales 2015'!C38</f>
        <v>7.4</v>
      </c>
      <c r="C16" s="413">
        <f>+'Sales 2015'!F38</f>
        <v>13.4</v>
      </c>
      <c r="D16" s="413">
        <f>+'Sales 2015'!U38</f>
        <v>308.96800000000002</v>
      </c>
      <c r="E16" s="413">
        <f>+'Sales 2015'!AJ38</f>
        <v>684.69520000000011</v>
      </c>
      <c r="F16" s="413">
        <f>+'Sales 2015'!AY38</f>
        <v>1528.2747600000002</v>
      </c>
      <c r="G16" s="357"/>
      <c r="H16" s="413">
        <f>+'Sales 2015'!I38</f>
        <v>2.2999999999999998</v>
      </c>
      <c r="I16" s="413">
        <f>+'Sales 2015'!L38</f>
        <v>260.8</v>
      </c>
      <c r="J16" s="413">
        <f>+'Sales 2015'!AA38</f>
        <v>883.41000000000008</v>
      </c>
      <c r="K16" s="413">
        <f>+'Sales 2015'!AP38</f>
        <v>2734.4790000000003</v>
      </c>
      <c r="L16" s="348">
        <f>+'Sales 2015'!BE38</f>
        <v>5171.788050000001</v>
      </c>
      <c r="N16" s="413">
        <f>+B16+H16</f>
        <v>9.6999999999999993</v>
      </c>
      <c r="O16" s="413">
        <f>+C16+I16</f>
        <v>274.2</v>
      </c>
      <c r="P16" s="413">
        <f t="shared" ref="P16:R17" si="4">+D16+J16</f>
        <v>1192.3780000000002</v>
      </c>
      <c r="Q16" s="413">
        <f t="shared" si="4"/>
        <v>3419.1742000000004</v>
      </c>
      <c r="R16" s="413">
        <f t="shared" si="4"/>
        <v>6700.0628100000013</v>
      </c>
      <c r="S16" s="358">
        <f t="shared" si="3"/>
        <v>264.5</v>
      </c>
      <c r="T16" s="358">
        <f t="shared" si="3"/>
        <v>918.17800000000011</v>
      </c>
      <c r="U16" s="358">
        <f t="shared" si="3"/>
        <v>2226.7962000000002</v>
      </c>
      <c r="V16" s="358">
        <f t="shared" si="3"/>
        <v>3280.8886100000009</v>
      </c>
    </row>
    <row r="17" spans="1:22" ht="15">
      <c r="A17" s="405" t="s">
        <v>231</v>
      </c>
      <c r="B17" s="413">
        <f>+'Sales 2015'!C58</f>
        <v>3.7</v>
      </c>
      <c r="C17" s="413">
        <f>+'Sales 2015'!F58</f>
        <v>3.7</v>
      </c>
      <c r="D17" s="413">
        <f>+'Sales 2015'!U58</f>
        <v>3.8480000000000003</v>
      </c>
      <c r="E17" s="413">
        <f>+'Sales 2015'!AJ58</f>
        <v>604.42200000000003</v>
      </c>
      <c r="F17" s="413">
        <f>+'Sales 2015'!AY58</f>
        <v>1417.8964800000003</v>
      </c>
      <c r="G17" s="357"/>
      <c r="H17" s="413">
        <f>+'Sales 2015'!I58</f>
        <v>0</v>
      </c>
      <c r="I17" s="413">
        <f>+'Sales 2015'!L58</f>
        <v>80.2</v>
      </c>
      <c r="J17" s="413">
        <f>+'Sales 2015'!AA58</f>
        <v>1318.02</v>
      </c>
      <c r="K17" s="413">
        <f>+'Sales 2015'!AP58</f>
        <v>3883.7370000000005</v>
      </c>
      <c r="L17" s="348">
        <f>+'Sales 2015'!BE58</f>
        <v>8498.0296500000022</v>
      </c>
      <c r="N17" s="413">
        <f>+B17+H17</f>
        <v>3.7</v>
      </c>
      <c r="O17" s="413">
        <f>+C17+I17</f>
        <v>83.9</v>
      </c>
      <c r="P17" s="413">
        <f t="shared" si="4"/>
        <v>1321.8679999999999</v>
      </c>
      <c r="Q17" s="413">
        <f t="shared" si="4"/>
        <v>4488.1590000000006</v>
      </c>
      <c r="R17" s="413">
        <f t="shared" si="4"/>
        <v>9915.9261300000035</v>
      </c>
      <c r="S17" s="358">
        <f t="shared" si="3"/>
        <v>80.2</v>
      </c>
      <c r="T17" s="358">
        <f t="shared" si="3"/>
        <v>1237.9679999999998</v>
      </c>
      <c r="U17" s="358">
        <f t="shared" si="3"/>
        <v>3166.2910000000006</v>
      </c>
      <c r="V17" s="358">
        <f t="shared" si="3"/>
        <v>5427.7671300000029</v>
      </c>
    </row>
    <row r="18" spans="1:22" ht="15">
      <c r="A18" s="408" t="s">
        <v>23</v>
      </c>
      <c r="B18" s="414">
        <f>SUM(B15:B17)</f>
        <v>10465.700000000001</v>
      </c>
      <c r="C18" s="414">
        <f>SUM(C15:C17)</f>
        <v>12663</v>
      </c>
      <c r="D18" s="414">
        <f>SUM(D15:D17)</f>
        <v>18521.960000000003</v>
      </c>
      <c r="E18" s="414">
        <f>SUM(E15:E17)</f>
        <v>26085.919600000001</v>
      </c>
      <c r="F18" s="414">
        <f>SUM(F15:F17)</f>
        <v>37251.245400000007</v>
      </c>
      <c r="G18" s="415">
        <f>+F18-'Sales 2015'!AY78</f>
        <v>0</v>
      </c>
      <c r="H18" s="414">
        <f>SUM(H15:H17)</f>
        <v>4681.7</v>
      </c>
      <c r="I18" s="414">
        <f>SUM(I15:I17)</f>
        <v>6968.6</v>
      </c>
      <c r="J18" s="414">
        <f>SUM(J15:J17)</f>
        <v>11407.169999999998</v>
      </c>
      <c r="K18" s="414">
        <f>SUM(K15:K17)</f>
        <v>20522.759000000002</v>
      </c>
      <c r="L18" s="414">
        <f>SUM(L15:L17)</f>
        <v>35780.407200000009</v>
      </c>
      <c r="N18" s="414">
        <f>SUM(N15:N17)</f>
        <v>15147.400000000001</v>
      </c>
      <c r="O18" s="414">
        <f>SUM(O15:O17)</f>
        <v>19631.600000000002</v>
      </c>
      <c r="P18" s="414">
        <f>SUM(P15:P17)</f>
        <v>29929.129999999997</v>
      </c>
      <c r="Q18" s="414">
        <f>SUM(Q15:Q17)</f>
        <v>46608.678600000007</v>
      </c>
      <c r="R18" s="414">
        <f>SUM(R15:R17)</f>
        <v>73031.652600000016</v>
      </c>
      <c r="S18" s="358">
        <f t="shared" si="3"/>
        <v>4484.2000000000007</v>
      </c>
      <c r="T18" s="358">
        <f t="shared" si="3"/>
        <v>10297.529999999995</v>
      </c>
      <c r="U18" s="358">
        <f t="shared" si="3"/>
        <v>16679.548600000009</v>
      </c>
      <c r="V18" s="358">
        <f t="shared" si="3"/>
        <v>26422.974000000009</v>
      </c>
    </row>
    <row r="19" spans="1:22">
      <c r="B19" s="416"/>
      <c r="C19" s="416">
        <f>+C18/B18-1</f>
        <v>0.20995251153768968</v>
      </c>
      <c r="D19" s="416">
        <f>+D18/C18-1</f>
        <v>0.4626834083550504</v>
      </c>
      <c r="E19" s="416">
        <f>+E18/D18-1</f>
        <v>0.40837792544633489</v>
      </c>
      <c r="F19" s="416">
        <f>+F18/E18-1</f>
        <v>0.42802116893743736</v>
      </c>
      <c r="G19" s="357"/>
      <c r="H19" s="357"/>
      <c r="I19" s="416">
        <f>+I18/H18-1</f>
        <v>0.48847640814234161</v>
      </c>
      <c r="J19" s="416">
        <f>+J18/I18-1</f>
        <v>0.63693855293746204</v>
      </c>
      <c r="K19" s="416">
        <f>+K18/J18-1</f>
        <v>0.79911047174715599</v>
      </c>
      <c r="L19" s="416">
        <f>+L18/K18-1</f>
        <v>0.74345014722435732</v>
      </c>
      <c r="N19" s="416"/>
      <c r="O19" s="416">
        <f>+O18/N18-1</f>
        <v>0.29603760381319577</v>
      </c>
      <c r="P19" s="416">
        <f>+P18/O18-1</f>
        <v>0.52453849915442419</v>
      </c>
      <c r="Q19" s="416">
        <f>+Q18/P18-1</f>
        <v>0.55730148520855805</v>
      </c>
      <c r="R19" s="416">
        <f>+R18/Q18-1</f>
        <v>0.56691103017024824</v>
      </c>
    </row>
    <row r="22" spans="1:22">
      <c r="A22" t="s">
        <v>251</v>
      </c>
      <c r="C22" s="425">
        <v>1.3517728549471824E-2</v>
      </c>
    </row>
    <row r="23" spans="1:22">
      <c r="A23" s="356" t="s">
        <v>252</v>
      </c>
      <c r="C23" s="425">
        <v>4.3371149886860548E-2</v>
      </c>
    </row>
    <row r="25" spans="1:22">
      <c r="S25" s="4">
        <f>+I18*3+J18*3+K18*3+L18*3</f>
        <v>224036.80860000002</v>
      </c>
      <c r="T25" s="436">
        <f>+C23</f>
        <v>4.3371149886860548E-2</v>
      </c>
      <c r="U25" s="4">
        <f>+T25*S25</f>
        <v>9716.7340059644885</v>
      </c>
    </row>
    <row r="26" spans="1:22">
      <c r="S26" s="4">
        <f>+C18*3+D18*3+E18*3+F18*3</f>
        <v>283566.375</v>
      </c>
      <c r="T26" s="436">
        <f>+C22</f>
        <v>1.3517728549471824E-2</v>
      </c>
      <c r="U26" s="4">
        <f>+T26*S26</f>
        <v>3833.1732830077331</v>
      </c>
    </row>
    <row r="27" spans="1:22">
      <c r="A27" s="356"/>
      <c r="C27" s="407" t="s">
        <v>11</v>
      </c>
      <c r="D27" s="407" t="s">
        <v>12</v>
      </c>
      <c r="E27" s="407" t="s">
        <v>13</v>
      </c>
      <c r="F27" s="407" t="s">
        <v>14</v>
      </c>
      <c r="G27" s="356"/>
      <c r="I27" s="407" t="s">
        <v>11</v>
      </c>
      <c r="J27" s="407" t="s">
        <v>12</v>
      </c>
      <c r="K27" s="407" t="s">
        <v>13</v>
      </c>
      <c r="L27" s="407" t="s">
        <v>14</v>
      </c>
      <c r="M27" s="356"/>
      <c r="O27" s="407" t="s">
        <v>11</v>
      </c>
      <c r="P27" s="407" t="s">
        <v>12</v>
      </c>
      <c r="Q27" s="407" t="s">
        <v>13</v>
      </c>
      <c r="R27" s="407" t="s">
        <v>14</v>
      </c>
    </row>
    <row r="28" spans="1:22" ht="15">
      <c r="A28" s="424" t="s">
        <v>253</v>
      </c>
      <c r="C28" s="406" t="s">
        <v>228</v>
      </c>
      <c r="D28" s="406" t="s">
        <v>228</v>
      </c>
      <c r="E28" s="406" t="s">
        <v>228</v>
      </c>
      <c r="F28" s="406" t="s">
        <v>228</v>
      </c>
      <c r="G28" s="356"/>
      <c r="I28" s="406" t="s">
        <v>229</v>
      </c>
      <c r="J28" s="406" t="s">
        <v>229</v>
      </c>
      <c r="K28" s="406" t="s">
        <v>229</v>
      </c>
      <c r="L28" s="406" t="s">
        <v>229</v>
      </c>
      <c r="M28" s="356"/>
      <c r="O28" s="406" t="s">
        <v>23</v>
      </c>
      <c r="P28" s="406" t="s">
        <v>23</v>
      </c>
      <c r="Q28" s="406" t="s">
        <v>23</v>
      </c>
      <c r="R28" s="406" t="s">
        <v>23</v>
      </c>
      <c r="S28" s="356"/>
    </row>
    <row r="29" spans="1:22" ht="15">
      <c r="A29" s="405" t="s">
        <v>254</v>
      </c>
      <c r="C29" s="413">
        <f>+C18*$C$22</f>
        <v>171.1749966219617</v>
      </c>
      <c r="D29" s="413">
        <f>+D18*$C$22</f>
        <v>250.37482748417517</v>
      </c>
      <c r="E29" s="413">
        <f>+E18*$C$22</f>
        <v>352.62238011614664</v>
      </c>
      <c r="F29" s="413">
        <f>+F18*$C$22</f>
        <v>503.55222344696102</v>
      </c>
      <c r="G29" s="357"/>
      <c r="H29" s="357"/>
      <c r="I29" s="413">
        <f>+I18*$C$23</f>
        <v>302.23619510157641</v>
      </c>
      <c r="J29" s="413">
        <f>+J18*$C$23</f>
        <v>494.74207985489898</v>
      </c>
      <c r="K29" s="413">
        <f>+K18*$C$23</f>
        <v>890.09565668091636</v>
      </c>
      <c r="L29" s="413">
        <f>+L18*$C$23</f>
        <v>1551.8374036841046</v>
      </c>
      <c r="M29" s="356"/>
      <c r="O29" s="413">
        <f>+I29+C29</f>
        <v>473.41119172353808</v>
      </c>
      <c r="P29" s="413">
        <f>+J29+D29</f>
        <v>745.11690733907415</v>
      </c>
      <c r="Q29" s="413">
        <f>+K29+E29</f>
        <v>1242.718036797063</v>
      </c>
      <c r="R29" s="413">
        <f>+L29+F29</f>
        <v>2055.3896271310655</v>
      </c>
      <c r="S29" s="356"/>
      <c r="T29" s="426"/>
    </row>
    <row r="30" spans="1:22">
      <c r="S30" s="356"/>
    </row>
    <row r="31" spans="1:22" s="356" customFormat="1" ht="15">
      <c r="A31" s="405" t="s">
        <v>255</v>
      </c>
      <c r="C31" s="413">
        <f t="shared" ref="C31:F33" si="5">+C30*3</f>
        <v>0</v>
      </c>
      <c r="D31" s="413">
        <f t="shared" si="5"/>
        <v>0</v>
      </c>
      <c r="E31" s="413">
        <f t="shared" si="5"/>
        <v>0</v>
      </c>
      <c r="F31" s="413">
        <f t="shared" si="5"/>
        <v>0</v>
      </c>
      <c r="G31" s="357"/>
      <c r="H31" s="357"/>
      <c r="I31" s="413">
        <f>+I9*$C$36*$D$36/1000</f>
        <v>62.1</v>
      </c>
      <c r="J31" s="413">
        <f>+J9*$C$36*$D$36/1000</f>
        <v>81.81</v>
      </c>
      <c r="K31" s="413">
        <f>+K9*$C$36*$D$36/1000</f>
        <v>104.76</v>
      </c>
      <c r="L31" s="413">
        <f>+L9*$C$36*$D$36/1000</f>
        <v>136.62</v>
      </c>
      <c r="O31" s="413">
        <f>+I31</f>
        <v>62.1</v>
      </c>
      <c r="P31" s="413">
        <f>+J31</f>
        <v>81.81</v>
      </c>
      <c r="Q31" s="413">
        <f>+K31</f>
        <v>104.76</v>
      </c>
      <c r="R31" s="413">
        <f>+L31</f>
        <v>136.62</v>
      </c>
    </row>
    <row r="32" spans="1:22" s="356" customFormat="1" ht="15">
      <c r="A32" s="405" t="s">
        <v>256</v>
      </c>
      <c r="C32" s="413">
        <f t="shared" si="5"/>
        <v>0</v>
      </c>
      <c r="D32" s="413">
        <f t="shared" si="5"/>
        <v>0</v>
      </c>
      <c r="E32" s="413">
        <f t="shared" si="5"/>
        <v>0</v>
      </c>
      <c r="F32" s="413">
        <f t="shared" si="5"/>
        <v>0</v>
      </c>
      <c r="G32" s="357"/>
      <c r="H32" s="357"/>
      <c r="I32" s="413">
        <f>+'Sales 2015'!J69*C37*D37/1000</f>
        <v>73.707750000000004</v>
      </c>
      <c r="J32" s="413">
        <f>+'Sales 2015'!Y69*C37*D37/1000</f>
        <v>95.663250000000005</v>
      </c>
      <c r="K32" s="413">
        <f>+'Sales 2015'!AN69*C37*D37/1000</f>
        <v>120.75525</v>
      </c>
      <c r="L32" s="413">
        <f>+'Sales 2015'!BC69*C37*D37/1000</f>
        <v>172.50749999999999</v>
      </c>
      <c r="O32" s="413">
        <f t="shared" ref="O32:R33" si="6">+C32+I32</f>
        <v>73.707750000000004</v>
      </c>
      <c r="P32" s="413">
        <f t="shared" si="6"/>
        <v>95.663250000000005</v>
      </c>
      <c r="Q32" s="413">
        <f t="shared" si="6"/>
        <v>120.75525</v>
      </c>
      <c r="R32" s="413">
        <f t="shared" si="6"/>
        <v>172.50749999999999</v>
      </c>
    </row>
    <row r="33" spans="1:20" s="356" customFormat="1" ht="15">
      <c r="A33" s="405" t="s">
        <v>257</v>
      </c>
      <c r="C33" s="413">
        <f t="shared" si="5"/>
        <v>0</v>
      </c>
      <c r="D33" s="413">
        <f t="shared" si="5"/>
        <v>0</v>
      </c>
      <c r="E33" s="413">
        <f t="shared" si="5"/>
        <v>0</v>
      </c>
      <c r="F33" s="413">
        <f t="shared" si="5"/>
        <v>0</v>
      </c>
      <c r="G33" s="357"/>
      <c r="H33" s="357"/>
      <c r="I33" s="413"/>
      <c r="J33" s="413"/>
      <c r="K33" s="413"/>
      <c r="L33" s="413"/>
      <c r="O33" s="413">
        <f t="shared" si="6"/>
        <v>0</v>
      </c>
      <c r="P33" s="413">
        <f t="shared" si="6"/>
        <v>0</v>
      </c>
      <c r="Q33" s="413">
        <f t="shared" si="6"/>
        <v>0</v>
      </c>
      <c r="R33" s="413">
        <f t="shared" si="6"/>
        <v>0</v>
      </c>
    </row>
    <row r="34" spans="1:20">
      <c r="S34" s="356"/>
    </row>
    <row r="35" spans="1:20" s="356" customFormat="1">
      <c r="A35"/>
      <c r="C35" s="115" t="s">
        <v>24</v>
      </c>
      <c r="D35" s="115" t="s">
        <v>258</v>
      </c>
      <c r="O35" s="358">
        <f>SUM(O29:O34)</f>
        <v>609.21894172353814</v>
      </c>
      <c r="P35" s="358">
        <f>SUM(P29:P34)</f>
        <v>922.59015733907427</v>
      </c>
      <c r="Q35" s="358">
        <f>SUM(Q29:Q34)</f>
        <v>1468.2332867970629</v>
      </c>
      <c r="R35" s="358">
        <f>SUM(R29:R34)</f>
        <v>2364.5171271310655</v>
      </c>
    </row>
    <row r="36" spans="1:20" s="356" customFormat="1" ht="15">
      <c r="A36" s="427" t="s">
        <v>259</v>
      </c>
      <c r="C36">
        <v>300</v>
      </c>
      <c r="D36" s="95">
        <v>0.9</v>
      </c>
    </row>
    <row r="37" spans="1:20" ht="15">
      <c r="A37" s="427" t="s">
        <v>260</v>
      </c>
      <c r="C37">
        <f>1500*1.23</f>
        <v>1845</v>
      </c>
      <c r="D37" s="95">
        <v>0.85</v>
      </c>
      <c r="S37" s="356"/>
    </row>
    <row r="38" spans="1:20">
      <c r="S38" s="356"/>
    </row>
    <row r="39" spans="1:20" s="356" customFormat="1">
      <c r="C39" s="407" t="s">
        <v>11</v>
      </c>
      <c r="D39" s="407" t="s">
        <v>12</v>
      </c>
      <c r="E39" s="407" t="s">
        <v>13</v>
      </c>
      <c r="F39" s="407" t="s">
        <v>14</v>
      </c>
      <c r="I39" s="407" t="s">
        <v>11</v>
      </c>
      <c r="J39" s="407" t="s">
        <v>12</v>
      </c>
      <c r="K39" s="407" t="s">
        <v>13</v>
      </c>
      <c r="L39" s="407" t="s">
        <v>14</v>
      </c>
      <c r="O39" s="407" t="s">
        <v>11</v>
      </c>
      <c r="P39" s="407" t="s">
        <v>12</v>
      </c>
      <c r="Q39" s="407" t="s">
        <v>13</v>
      </c>
      <c r="R39" s="407" t="s">
        <v>14</v>
      </c>
    </row>
    <row r="40" spans="1:20" s="356" customFormat="1" ht="15">
      <c r="A40" s="424" t="s">
        <v>264</v>
      </c>
      <c r="C40" s="406" t="s">
        <v>228</v>
      </c>
      <c r="D40" s="406" t="s">
        <v>228</v>
      </c>
      <c r="E40" s="406" t="s">
        <v>228</v>
      </c>
      <c r="F40" s="406" t="s">
        <v>228</v>
      </c>
      <c r="I40" s="406" t="s">
        <v>229</v>
      </c>
      <c r="J40" s="406" t="s">
        <v>229</v>
      </c>
      <c r="K40" s="406" t="s">
        <v>229</v>
      </c>
      <c r="L40" s="406" t="s">
        <v>229</v>
      </c>
      <c r="O40" s="406" t="s">
        <v>23</v>
      </c>
      <c r="P40" s="406" t="s">
        <v>23</v>
      </c>
      <c r="Q40" s="406" t="s">
        <v>23</v>
      </c>
      <c r="R40" s="406" t="s">
        <v>23</v>
      </c>
    </row>
    <row r="41" spans="1:20" s="356" customFormat="1" ht="15">
      <c r="A41" s="405" t="s">
        <v>265</v>
      </c>
      <c r="C41" s="428">
        <f>+$C$43*C29</f>
        <v>8.2563386530753693</v>
      </c>
      <c r="D41" s="428">
        <f>+$C$43*D29</f>
        <v>12.076409561613827</v>
      </c>
      <c r="E41" s="428">
        <f>+$C$43*E29</f>
        <v>17.008148645225965</v>
      </c>
      <c r="F41" s="428">
        <f>+$C$43*F29</f>
        <v>24.287996309817274</v>
      </c>
      <c r="G41" s="357"/>
      <c r="H41" s="357"/>
      <c r="I41" s="428">
        <f>+$C$44*(I29+I31+I32)</f>
        <v>249.68125536714709</v>
      </c>
      <c r="J41" s="428">
        <f>+$C$44*(J29+J31+J32)</f>
        <v>383.15691681639913</v>
      </c>
      <c r="K41" s="428">
        <f>+$C$44*(K29+K31+K32)</f>
        <v>635.8885559228105</v>
      </c>
      <c r="L41" s="428">
        <f>+$C$44*(L29+L31+L32)</f>
        <v>1060.7338796528818</v>
      </c>
      <c r="O41" s="413">
        <f>+I41+C41</f>
        <v>257.93759402022243</v>
      </c>
      <c r="P41" s="413">
        <f>+J41+D41</f>
        <v>395.23332637801298</v>
      </c>
      <c r="Q41" s="413">
        <f>+K41+E41</f>
        <v>652.89670456803651</v>
      </c>
      <c r="R41" s="413">
        <f>+L41+F41</f>
        <v>1085.0218759626991</v>
      </c>
      <c r="T41" s="426"/>
    </row>
    <row r="43" spans="1:20">
      <c r="A43" s="356" t="s">
        <v>267</v>
      </c>
      <c r="C43" s="425">
        <v>4.8233321548178047E-2</v>
      </c>
    </row>
    <row r="44" spans="1:20">
      <c r="A44" s="356" t="s">
        <v>266</v>
      </c>
      <c r="C44" s="425">
        <v>0.56999134027351839</v>
      </c>
    </row>
    <row r="46" spans="1:20">
      <c r="I46" s="4"/>
    </row>
    <row r="48" spans="1:20" ht="13.5" thickBot="1">
      <c r="O48" s="356"/>
      <c r="P48" s="356"/>
    </row>
    <row r="49" spans="1:16" ht="13.5" thickBot="1">
      <c r="C49" s="864">
        <v>41974</v>
      </c>
      <c r="D49" s="865"/>
      <c r="E49" s="866" t="s">
        <v>11</v>
      </c>
      <c r="F49" s="867"/>
      <c r="G49" s="866" t="s">
        <v>12</v>
      </c>
      <c r="H49" s="867"/>
      <c r="I49" s="866" t="s">
        <v>13</v>
      </c>
      <c r="J49" s="867"/>
      <c r="K49" s="866" t="s">
        <v>14</v>
      </c>
      <c r="L49" s="867"/>
      <c r="M49" s="356"/>
      <c r="O49" s="356"/>
      <c r="P49" s="356"/>
    </row>
    <row r="50" spans="1:16">
      <c r="A50" s="116" t="s">
        <v>269</v>
      </c>
      <c r="B50" s="116"/>
      <c r="C50" s="429" t="s">
        <v>273</v>
      </c>
      <c r="D50" s="429" t="s">
        <v>64</v>
      </c>
      <c r="E50" s="429" t="s">
        <v>273</v>
      </c>
      <c r="F50" s="106" t="s">
        <v>64</v>
      </c>
      <c r="G50" s="429" t="s">
        <v>273</v>
      </c>
      <c r="H50" s="106" t="s">
        <v>64</v>
      </c>
      <c r="I50" s="429" t="s">
        <v>273</v>
      </c>
      <c r="J50" s="106" t="s">
        <v>64</v>
      </c>
      <c r="K50" s="429" t="s">
        <v>273</v>
      </c>
      <c r="L50" s="106" t="s">
        <v>64</v>
      </c>
      <c r="M50" s="356"/>
      <c r="O50" s="356"/>
    </row>
    <row r="51" spans="1:16">
      <c r="A51" t="s">
        <v>270</v>
      </c>
      <c r="C51" s="241">
        <f>+'Sales 2015'!C9+'Sales 2015'!I9</f>
        <v>219</v>
      </c>
      <c r="D51" s="241">
        <v>2</v>
      </c>
      <c r="E51" s="242">
        <f>+O9</f>
        <v>302</v>
      </c>
      <c r="F51" s="412">
        <f>E51/(+C51/D51)</f>
        <v>2.7579908675799087</v>
      </c>
      <c r="G51" s="242">
        <f>+P9</f>
        <v>409</v>
      </c>
      <c r="H51" s="412">
        <f>G51/(+E51/F51)</f>
        <v>3.7351598173515983</v>
      </c>
      <c r="I51" s="242">
        <f>+Q9</f>
        <v>539</v>
      </c>
      <c r="J51" s="412">
        <f>I51/(+G51/H51)</f>
        <v>4.9223744292237441</v>
      </c>
      <c r="K51" s="242">
        <f>+R9</f>
        <v>716</v>
      </c>
      <c r="L51" s="412">
        <f>K51/(+I51/J51)</f>
        <v>6.5388127853881279</v>
      </c>
      <c r="M51" s="356"/>
      <c r="O51" s="356"/>
    </row>
    <row r="52" spans="1:16">
      <c r="A52" t="s">
        <v>271</v>
      </c>
      <c r="C52" s="241">
        <f>+C51</f>
        <v>219</v>
      </c>
      <c r="D52" s="241">
        <v>2</v>
      </c>
      <c r="E52" s="242">
        <f>+E51</f>
        <v>302</v>
      </c>
      <c r="F52" s="412">
        <f>E52/(+C52/D52)</f>
        <v>2.7579908675799087</v>
      </c>
      <c r="G52" s="242">
        <f>+G51</f>
        <v>409</v>
      </c>
      <c r="H52" s="412">
        <f>G52/(+E52/F52)</f>
        <v>3.7351598173515983</v>
      </c>
      <c r="I52" s="242">
        <f>+I51</f>
        <v>539</v>
      </c>
      <c r="J52" s="412">
        <f>I52/(+G52/H52)</f>
        <v>4.9223744292237441</v>
      </c>
      <c r="K52" s="241">
        <f>+K51</f>
        <v>716</v>
      </c>
      <c r="L52" s="412">
        <f>K52/(+I52/J52)</f>
        <v>6.5388127853881279</v>
      </c>
      <c r="M52" s="300"/>
      <c r="O52" s="356"/>
    </row>
    <row r="53" spans="1:16">
      <c r="A53" t="s">
        <v>272</v>
      </c>
      <c r="C53" s="241">
        <f>+C52</f>
        <v>219</v>
      </c>
      <c r="D53" s="241">
        <v>2</v>
      </c>
      <c r="E53" s="242">
        <f>+E52</f>
        <v>302</v>
      </c>
      <c r="F53" s="412">
        <f>E53/(+C53/D53)</f>
        <v>2.7579908675799087</v>
      </c>
      <c r="G53" s="242">
        <f>+G52</f>
        <v>409</v>
      </c>
      <c r="H53" s="412">
        <f>G53/(+E53/F53)</f>
        <v>3.7351598173515983</v>
      </c>
      <c r="I53" s="242">
        <f>+I52</f>
        <v>539</v>
      </c>
      <c r="J53" s="412">
        <f>I53/(+G53/H53)</f>
        <v>4.9223744292237441</v>
      </c>
      <c r="K53" s="241">
        <f>+K52</f>
        <v>716</v>
      </c>
      <c r="L53" s="412">
        <f>K53/(+I53/J53)</f>
        <v>6.5388127853881279</v>
      </c>
      <c r="M53" s="300"/>
      <c r="O53" s="356"/>
    </row>
    <row r="54" spans="1:16">
      <c r="A54" t="s">
        <v>221</v>
      </c>
      <c r="C54" s="241">
        <f>+C53</f>
        <v>219</v>
      </c>
      <c r="D54" s="241">
        <v>4</v>
      </c>
      <c r="E54" s="242">
        <f>+E53</f>
        <v>302</v>
      </c>
      <c r="F54" s="412">
        <f>E54/(+C54/D54)</f>
        <v>5.5159817351598175</v>
      </c>
      <c r="G54" s="242">
        <f>+G53</f>
        <v>409</v>
      </c>
      <c r="H54" s="412">
        <f>G54/(+E54/F54)</f>
        <v>7.4703196347031966</v>
      </c>
      <c r="I54" s="242">
        <f>+I53</f>
        <v>539</v>
      </c>
      <c r="J54" s="412">
        <f>I54/(+G54/H54)</f>
        <v>9.8447488584474883</v>
      </c>
      <c r="K54" s="241">
        <f>+K53</f>
        <v>716</v>
      </c>
      <c r="L54" s="412">
        <f>K54/(+I54/J54)</f>
        <v>13.077625570776256</v>
      </c>
      <c r="M54" s="300"/>
      <c r="O54" s="356"/>
    </row>
    <row r="55" spans="1:16">
      <c r="O55" s="356"/>
      <c r="P55" s="356"/>
    </row>
  </sheetData>
  <mergeCells count="5">
    <mergeCell ref="C49:D49"/>
    <mergeCell ref="E49:F49"/>
    <mergeCell ref="G49:H49"/>
    <mergeCell ref="I49:J49"/>
    <mergeCell ref="K49:L49"/>
  </mergeCells>
  <pageMargins left="0.7" right="0.7" top="0.75" bottom="0.75" header="0.3" footer="0.3"/>
  <pageSetup paperSize="9" scale="65" orientation="landscape" r:id="rId1"/>
  <rowBreaks count="1" manualBreakCount="1">
    <brk id="25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rgb="FFFFFF00"/>
  </sheetPr>
  <dimension ref="A1:BG81"/>
  <sheetViews>
    <sheetView workbookViewId="0"/>
  </sheetViews>
  <sheetFormatPr defaultColWidth="9.140625" defaultRowHeight="15"/>
  <cols>
    <col min="1" max="1" width="23.5703125" style="287" customWidth="1"/>
    <col min="2" max="2" width="13.85546875" style="287" bestFit="1" customWidth="1"/>
    <col min="3" max="3" width="13.42578125" style="287" customWidth="1"/>
    <col min="4" max="4" width="11.5703125" style="287" customWidth="1"/>
    <col min="5" max="5" width="10.140625" style="287" customWidth="1"/>
    <col min="6" max="6" width="11.42578125" style="287" customWidth="1"/>
    <col min="7" max="7" width="4.5703125" style="287" customWidth="1"/>
    <col min="8" max="8" width="13.85546875" style="287" bestFit="1" customWidth="1"/>
    <col min="9" max="12" width="11.140625" style="287" customWidth="1"/>
    <col min="13" max="13" width="3.7109375" style="287" customWidth="1"/>
    <col min="14" max="14" width="13.5703125" style="292" customWidth="1"/>
    <col min="15" max="15" width="4.28515625" style="292" customWidth="1"/>
    <col min="16" max="16" width="22.7109375" style="290" customWidth="1"/>
    <col min="17" max="17" width="11" style="290" customWidth="1"/>
    <col min="18" max="18" width="10.5703125" style="287" customWidth="1"/>
    <col min="19" max="20" width="9.140625" style="287"/>
    <col min="21" max="21" width="10.5703125" style="287" customWidth="1"/>
    <col min="22" max="22" width="5.140625" style="287" customWidth="1"/>
    <col min="23" max="23" width="11.7109375" style="287" customWidth="1"/>
    <col min="24" max="24" width="11" style="287" customWidth="1"/>
    <col min="25" max="25" width="9.140625" style="287"/>
    <col min="26" max="26" width="11.140625" style="287" customWidth="1"/>
    <col min="27" max="27" width="10.5703125" style="287" customWidth="1"/>
    <col min="28" max="28" width="5" style="287" customWidth="1"/>
    <col min="29" max="29" width="11" style="287" customWidth="1"/>
    <col min="30" max="30" width="6.5703125" style="287" customWidth="1"/>
    <col min="31" max="31" width="22.7109375" style="287" customWidth="1"/>
    <col min="32" max="32" width="11.85546875" style="287" customWidth="1"/>
    <col min="33" max="33" width="11" style="287" customWidth="1"/>
    <col min="34" max="34" width="9.140625" style="287"/>
    <col min="35" max="35" width="10.5703125" style="287" customWidth="1"/>
    <col min="36" max="37" width="9.140625" style="287"/>
    <col min="38" max="38" width="11.85546875" style="287" customWidth="1"/>
    <col min="39" max="40" width="9.140625" style="287"/>
    <col min="41" max="41" width="10.42578125" style="287" customWidth="1"/>
    <col min="42" max="43" width="9.140625" style="287"/>
    <col min="44" max="44" width="11.7109375" style="287" customWidth="1"/>
    <col min="45" max="45" width="9.140625" style="287"/>
    <col min="46" max="46" width="26.140625" style="287" customWidth="1"/>
    <col min="47" max="47" width="11.85546875" style="287" customWidth="1"/>
    <col min="48" max="48" width="11" style="287" customWidth="1"/>
    <col min="49" max="49" width="9.140625" style="287"/>
    <col min="50" max="50" width="10.5703125" style="287" customWidth="1"/>
    <col min="51" max="52" width="9.140625" style="287"/>
    <col min="53" max="53" width="11.85546875" style="287" customWidth="1"/>
    <col min="54" max="55" width="9.140625" style="287"/>
    <col min="56" max="56" width="10.42578125" style="287" customWidth="1"/>
    <col min="57" max="58" width="9.140625" style="287"/>
    <col min="59" max="59" width="11.7109375" style="287" customWidth="1"/>
    <col min="60" max="16384" width="9.140625" style="287"/>
  </cols>
  <sheetData>
    <row r="1" spans="1:59" s="288" customFormat="1" ht="21.75" customHeight="1">
      <c r="G1" s="382" t="s">
        <v>318</v>
      </c>
      <c r="M1" s="401"/>
      <c r="N1" s="402"/>
      <c r="O1" s="402"/>
      <c r="V1" s="382" t="s">
        <v>261</v>
      </c>
      <c r="AB1" s="401"/>
      <c r="AC1" s="402"/>
      <c r="AK1" s="382" t="s">
        <v>262</v>
      </c>
      <c r="AQ1" s="401"/>
      <c r="AR1" s="402"/>
      <c r="AZ1" s="382" t="s">
        <v>263</v>
      </c>
      <c r="BF1" s="401"/>
      <c r="BG1" s="402"/>
    </row>
    <row r="2" spans="1:59" ht="15.75" thickBot="1">
      <c r="M2" s="401"/>
      <c r="N2" s="402"/>
      <c r="O2" s="402"/>
      <c r="P2" s="287"/>
      <c r="Q2" s="287"/>
      <c r="AB2" s="401"/>
      <c r="AC2" s="402"/>
      <c r="AQ2" s="401"/>
      <c r="AR2" s="402"/>
      <c r="BF2" s="401"/>
      <c r="BG2" s="402"/>
    </row>
    <row r="3" spans="1:59" ht="15.75" thickBot="1">
      <c r="C3" s="871" t="s">
        <v>237</v>
      </c>
      <c r="D3" s="872"/>
      <c r="E3" s="872"/>
      <c r="F3" s="873"/>
      <c r="I3" s="868" t="s">
        <v>238</v>
      </c>
      <c r="J3" s="869"/>
      <c r="K3" s="869"/>
      <c r="L3" s="870"/>
      <c r="O3" s="402"/>
      <c r="P3" s="417" t="s">
        <v>250</v>
      </c>
      <c r="Q3" s="418">
        <v>0.04</v>
      </c>
      <c r="R3" s="871" t="s">
        <v>237</v>
      </c>
      <c r="S3" s="872"/>
      <c r="T3" s="872"/>
      <c r="U3" s="873"/>
      <c r="W3" s="418">
        <v>0.1</v>
      </c>
      <c r="X3" s="868" t="s">
        <v>238</v>
      </c>
      <c r="Y3" s="869"/>
      <c r="Z3" s="869"/>
      <c r="AA3" s="870"/>
      <c r="AC3" s="292"/>
      <c r="AE3" s="417" t="s">
        <v>250</v>
      </c>
      <c r="AF3" s="418">
        <v>0.05</v>
      </c>
      <c r="AG3" s="871" t="s">
        <v>237</v>
      </c>
      <c r="AH3" s="872"/>
      <c r="AI3" s="872"/>
      <c r="AJ3" s="873"/>
      <c r="AL3" s="418">
        <v>0.1</v>
      </c>
      <c r="AM3" s="868" t="s">
        <v>238</v>
      </c>
      <c r="AN3" s="869"/>
      <c r="AO3" s="869"/>
      <c r="AP3" s="870"/>
      <c r="AR3" s="292"/>
      <c r="AT3" s="417" t="s">
        <v>250</v>
      </c>
      <c r="AU3" s="418">
        <v>0.1</v>
      </c>
      <c r="AV3" s="871" t="s">
        <v>237</v>
      </c>
      <c r="AW3" s="872"/>
      <c r="AX3" s="872"/>
      <c r="AY3" s="873"/>
      <c r="BA3" s="418">
        <v>0.15</v>
      </c>
      <c r="BB3" s="868" t="s">
        <v>238</v>
      </c>
      <c r="BC3" s="869"/>
      <c r="BD3" s="869"/>
      <c r="BE3" s="870"/>
      <c r="BG3" s="292"/>
    </row>
    <row r="4" spans="1:59" s="368" customFormat="1" ht="30.75" thickBot="1">
      <c r="A4" s="383" t="s">
        <v>235</v>
      </c>
      <c r="B4" s="384" t="s">
        <v>239</v>
      </c>
      <c r="C4" s="370" t="s">
        <v>234</v>
      </c>
      <c r="D4" s="371" t="s">
        <v>79</v>
      </c>
      <c r="E4" s="371" t="s">
        <v>80</v>
      </c>
      <c r="F4" s="372" t="s">
        <v>168</v>
      </c>
      <c r="G4" s="287"/>
      <c r="H4" s="384" t="s">
        <v>239</v>
      </c>
      <c r="I4" s="370" t="s">
        <v>234</v>
      </c>
      <c r="J4" s="371" t="s">
        <v>79</v>
      </c>
      <c r="K4" s="371" t="s">
        <v>80</v>
      </c>
      <c r="L4" s="372" t="s">
        <v>168</v>
      </c>
      <c r="N4" s="369"/>
      <c r="O4" s="402"/>
      <c r="P4" s="383" t="s">
        <v>235</v>
      </c>
      <c r="Q4" s="384" t="s">
        <v>239</v>
      </c>
      <c r="R4" s="370" t="s">
        <v>234</v>
      </c>
      <c r="S4" s="371" t="s">
        <v>79</v>
      </c>
      <c r="T4" s="371" t="s">
        <v>80</v>
      </c>
      <c r="U4" s="372" t="s">
        <v>168</v>
      </c>
      <c r="V4" s="287"/>
      <c r="W4" s="384" t="s">
        <v>239</v>
      </c>
      <c r="X4" s="370" t="s">
        <v>234</v>
      </c>
      <c r="Y4" s="371" t="s">
        <v>79</v>
      </c>
      <c r="Z4" s="371" t="s">
        <v>80</v>
      </c>
      <c r="AA4" s="372" t="s">
        <v>168</v>
      </c>
      <c r="AC4" s="369"/>
      <c r="AE4" s="383" t="s">
        <v>235</v>
      </c>
      <c r="AF4" s="384" t="s">
        <v>239</v>
      </c>
      <c r="AG4" s="370" t="s">
        <v>234</v>
      </c>
      <c r="AH4" s="371" t="s">
        <v>79</v>
      </c>
      <c r="AI4" s="371" t="s">
        <v>80</v>
      </c>
      <c r="AJ4" s="372" t="s">
        <v>168</v>
      </c>
      <c r="AK4" s="287"/>
      <c r="AL4" s="384" t="s">
        <v>239</v>
      </c>
      <c r="AM4" s="370" t="s">
        <v>234</v>
      </c>
      <c r="AN4" s="371" t="s">
        <v>79</v>
      </c>
      <c r="AO4" s="371" t="s">
        <v>80</v>
      </c>
      <c r="AP4" s="372" t="s">
        <v>168</v>
      </c>
      <c r="AR4" s="369"/>
      <c r="AT4" s="383" t="s">
        <v>235</v>
      </c>
      <c r="AU4" s="384" t="s">
        <v>239</v>
      </c>
      <c r="AV4" s="370" t="s">
        <v>234</v>
      </c>
      <c r="AW4" s="371" t="s">
        <v>79</v>
      </c>
      <c r="AX4" s="371" t="s">
        <v>80</v>
      </c>
      <c r="AY4" s="372" t="s">
        <v>168</v>
      </c>
      <c r="AZ4" s="287"/>
      <c r="BA4" s="384" t="s">
        <v>239</v>
      </c>
      <c r="BB4" s="370" t="s">
        <v>234</v>
      </c>
      <c r="BC4" s="371" t="s">
        <v>79</v>
      </c>
      <c r="BD4" s="371" t="s">
        <v>80</v>
      </c>
      <c r="BE4" s="372" t="s">
        <v>168</v>
      </c>
      <c r="BG4" s="369"/>
    </row>
    <row r="5" spans="1:59">
      <c r="A5" s="367" t="s">
        <v>188</v>
      </c>
      <c r="B5" s="385">
        <v>3.7</v>
      </c>
      <c r="C5" s="373">
        <v>12</v>
      </c>
      <c r="D5" s="374">
        <v>15</v>
      </c>
      <c r="E5" s="374">
        <v>-3</v>
      </c>
      <c r="F5" s="375">
        <f>SUM(C5:E5)</f>
        <v>24</v>
      </c>
      <c r="H5" s="385">
        <v>2.2999999999999998</v>
      </c>
      <c r="I5" s="373">
        <v>104</v>
      </c>
      <c r="J5" s="374">
        <v>17</v>
      </c>
      <c r="K5" s="374">
        <v>-7</v>
      </c>
      <c r="L5" s="375">
        <f>+I5+J5-K5</f>
        <v>128</v>
      </c>
      <c r="O5" s="402"/>
      <c r="P5" s="367" t="s">
        <v>188</v>
      </c>
      <c r="Q5" s="385">
        <f>+B5*(1+$Q$3)</f>
        <v>3.8480000000000003</v>
      </c>
      <c r="R5" s="373">
        <f>+F5</f>
        <v>24</v>
      </c>
      <c r="S5" s="374">
        <v>15</v>
      </c>
      <c r="T5" s="374">
        <v>-5</v>
      </c>
      <c r="U5" s="375">
        <f>SUM(R5:T5)</f>
        <v>34</v>
      </c>
      <c r="W5" s="385">
        <f>+H5*(1+$W$3)</f>
        <v>2.5299999999999998</v>
      </c>
      <c r="X5" s="373">
        <f>+L5</f>
        <v>128</v>
      </c>
      <c r="Y5" s="374">
        <v>17</v>
      </c>
      <c r="Z5" s="374">
        <v>-7</v>
      </c>
      <c r="AA5" s="375">
        <f>+X5+Y5-Z5</f>
        <v>152</v>
      </c>
      <c r="AC5" s="292"/>
      <c r="AE5" s="367" t="s">
        <v>188</v>
      </c>
      <c r="AF5" s="385">
        <f>+Q5*(1+$AF$3)</f>
        <v>4.0404000000000009</v>
      </c>
      <c r="AG5" s="373">
        <f>+U5</f>
        <v>34</v>
      </c>
      <c r="AH5" s="374">
        <v>15</v>
      </c>
      <c r="AI5" s="374">
        <v>-5</v>
      </c>
      <c r="AJ5" s="375">
        <f>SUM(AG5:AI5)</f>
        <v>44</v>
      </c>
      <c r="AL5" s="385">
        <f>+W5*(1+$AL$3)</f>
        <v>2.7829999999999999</v>
      </c>
      <c r="AM5" s="373">
        <f>+AA5</f>
        <v>152</v>
      </c>
      <c r="AN5" s="374">
        <v>20</v>
      </c>
      <c r="AO5" s="374">
        <v>-4</v>
      </c>
      <c r="AP5" s="375">
        <f>+AM5+AN5-AO5</f>
        <v>176</v>
      </c>
      <c r="AR5" s="292"/>
      <c r="AT5" s="367" t="s">
        <v>188</v>
      </c>
      <c r="AU5" s="385">
        <f>+AF5*(1+$AU$3)</f>
        <v>4.4444400000000011</v>
      </c>
      <c r="AV5" s="373">
        <f>+AJ5</f>
        <v>44</v>
      </c>
      <c r="AW5" s="374">
        <v>18</v>
      </c>
      <c r="AX5" s="374">
        <v>-5</v>
      </c>
      <c r="AY5" s="375">
        <f>SUM(AV5:AX5)</f>
        <v>57</v>
      </c>
      <c r="BA5" s="385">
        <f>+AL5*(1+$BA$3)</f>
        <v>3.2004499999999996</v>
      </c>
      <c r="BB5" s="373">
        <f>+AP5</f>
        <v>176</v>
      </c>
      <c r="BC5" s="374">
        <v>25</v>
      </c>
      <c r="BD5" s="374">
        <v>-4</v>
      </c>
      <c r="BE5" s="375">
        <f>+BB5+BC5-BD5</f>
        <v>205</v>
      </c>
      <c r="BG5" s="292"/>
    </row>
    <row r="6" spans="1:59">
      <c r="A6" s="367" t="s">
        <v>232</v>
      </c>
      <c r="B6" s="386">
        <v>44.1</v>
      </c>
      <c r="C6" s="376">
        <v>19</v>
      </c>
      <c r="D6" s="377">
        <v>7</v>
      </c>
      <c r="E6" s="377">
        <v>-2</v>
      </c>
      <c r="F6" s="378">
        <f>SUM(C6:E6)</f>
        <v>24</v>
      </c>
      <c r="H6" s="386">
        <v>27.6</v>
      </c>
      <c r="I6" s="376">
        <v>57</v>
      </c>
      <c r="J6" s="377">
        <v>15</v>
      </c>
      <c r="K6" s="377">
        <v>-3</v>
      </c>
      <c r="L6" s="378">
        <f>+I6+J6-K6</f>
        <v>75</v>
      </c>
      <c r="O6" s="402"/>
      <c r="P6" s="367" t="s">
        <v>232</v>
      </c>
      <c r="Q6" s="386">
        <f>+B6*(1+$Q$3)</f>
        <v>45.864000000000004</v>
      </c>
      <c r="R6" s="376">
        <f>+F6</f>
        <v>24</v>
      </c>
      <c r="S6" s="377">
        <v>10</v>
      </c>
      <c r="T6" s="377">
        <v>-3</v>
      </c>
      <c r="U6" s="378">
        <f>SUM(R6:T6)</f>
        <v>31</v>
      </c>
      <c r="W6" s="386">
        <f>+H6*(1+$W$3)</f>
        <v>30.360000000000003</v>
      </c>
      <c r="X6" s="376">
        <f>+L6</f>
        <v>75</v>
      </c>
      <c r="Y6" s="377">
        <v>20</v>
      </c>
      <c r="Z6" s="377">
        <v>-5</v>
      </c>
      <c r="AA6" s="378">
        <f>+X6+Y6-Z6</f>
        <v>100</v>
      </c>
      <c r="AC6" s="292"/>
      <c r="AE6" s="367" t="s">
        <v>232</v>
      </c>
      <c r="AF6" s="386">
        <f>+Q6*(1+$AF$3)</f>
        <v>48.157200000000003</v>
      </c>
      <c r="AG6" s="376">
        <f>+U6</f>
        <v>31</v>
      </c>
      <c r="AH6" s="377">
        <v>10</v>
      </c>
      <c r="AI6" s="377">
        <v>-3</v>
      </c>
      <c r="AJ6" s="378">
        <f>SUM(AG6:AI6)</f>
        <v>38</v>
      </c>
      <c r="AL6" s="386">
        <f>+W6*(1+$AL$3)</f>
        <v>33.396000000000008</v>
      </c>
      <c r="AM6" s="376">
        <f>+AA6</f>
        <v>100</v>
      </c>
      <c r="AN6" s="377">
        <v>25</v>
      </c>
      <c r="AO6" s="377">
        <v>-4</v>
      </c>
      <c r="AP6" s="378">
        <f>+AM6+AN6-AO6</f>
        <v>129</v>
      </c>
      <c r="AR6" s="292"/>
      <c r="AT6" s="367" t="s">
        <v>232</v>
      </c>
      <c r="AU6" s="386">
        <f>+AF6*(1+$AU$3)</f>
        <v>52.972920000000009</v>
      </c>
      <c r="AV6" s="376">
        <f>+AJ6</f>
        <v>38</v>
      </c>
      <c r="AW6" s="377">
        <v>15</v>
      </c>
      <c r="AX6" s="377">
        <v>-3</v>
      </c>
      <c r="AY6" s="378">
        <f>SUM(AV6:AX6)</f>
        <v>50</v>
      </c>
      <c r="BA6" s="386">
        <f>+AL6*(1+$BA$3)</f>
        <v>38.405400000000007</v>
      </c>
      <c r="BB6" s="376">
        <f>+AP6</f>
        <v>129</v>
      </c>
      <c r="BC6" s="377">
        <v>30</v>
      </c>
      <c r="BD6" s="377">
        <v>-4</v>
      </c>
      <c r="BE6" s="378">
        <f>+BB6+BC6-BD6</f>
        <v>163</v>
      </c>
      <c r="BG6" s="292"/>
    </row>
    <row r="7" spans="1:59">
      <c r="A7" s="367" t="s">
        <v>189</v>
      </c>
      <c r="B7" s="386">
        <v>219.7</v>
      </c>
      <c r="C7" s="376">
        <v>9</v>
      </c>
      <c r="D7" s="377">
        <v>3</v>
      </c>
      <c r="E7" s="377">
        <v>-1</v>
      </c>
      <c r="F7" s="378">
        <f>SUM(C7:E7)</f>
        <v>11</v>
      </c>
      <c r="H7" s="386">
        <v>198.7</v>
      </c>
      <c r="I7" s="376">
        <v>10</v>
      </c>
      <c r="J7" s="377">
        <v>3</v>
      </c>
      <c r="K7" s="377"/>
      <c r="L7" s="378">
        <f>+I7+J7-K7</f>
        <v>13</v>
      </c>
      <c r="O7" s="402"/>
      <c r="P7" s="367" t="s">
        <v>189</v>
      </c>
      <c r="Q7" s="386">
        <f>+B7*(1+$Q$3)</f>
        <v>228.488</v>
      </c>
      <c r="R7" s="376">
        <f>+F7</f>
        <v>11</v>
      </c>
      <c r="S7" s="377">
        <v>6</v>
      </c>
      <c r="T7" s="377">
        <v>-1</v>
      </c>
      <c r="U7" s="378">
        <f>SUM(R7:T7)</f>
        <v>16</v>
      </c>
      <c r="W7" s="386">
        <f>+H7*(1+$W$3)</f>
        <v>218.57</v>
      </c>
      <c r="X7" s="376">
        <f>+L7</f>
        <v>13</v>
      </c>
      <c r="Y7" s="377">
        <v>4</v>
      </c>
      <c r="Z7" s="377"/>
      <c r="AA7" s="378">
        <f>+X7+Y7-Z7</f>
        <v>17</v>
      </c>
      <c r="AC7" s="292"/>
      <c r="AE7" s="367" t="s">
        <v>189</v>
      </c>
      <c r="AF7" s="386">
        <f>+Q7*(1+$AF$3)</f>
        <v>239.91240000000002</v>
      </c>
      <c r="AG7" s="376">
        <f>+U7</f>
        <v>16</v>
      </c>
      <c r="AH7" s="377">
        <v>8</v>
      </c>
      <c r="AI7" s="377">
        <v>-1</v>
      </c>
      <c r="AJ7" s="378">
        <f>SUM(AG7:AI7)</f>
        <v>23</v>
      </c>
      <c r="AL7" s="386">
        <f>+W7*(1+$AL$3)</f>
        <v>240.42700000000002</v>
      </c>
      <c r="AM7" s="376">
        <f>+AA7</f>
        <v>17</v>
      </c>
      <c r="AN7" s="377">
        <v>4</v>
      </c>
      <c r="AO7" s="377"/>
      <c r="AP7" s="378">
        <f>+AM7+AN7-AO7</f>
        <v>21</v>
      </c>
      <c r="AR7" s="292"/>
      <c r="AT7" s="367" t="s">
        <v>189</v>
      </c>
      <c r="AU7" s="386">
        <f>+AF7*(1+$AU$3)</f>
        <v>263.90364000000005</v>
      </c>
      <c r="AV7" s="376">
        <f>+AJ7</f>
        <v>23</v>
      </c>
      <c r="AW7" s="377">
        <v>10</v>
      </c>
      <c r="AX7" s="377">
        <v>-1</v>
      </c>
      <c r="AY7" s="378">
        <f>SUM(AV7:AX7)</f>
        <v>32</v>
      </c>
      <c r="BA7" s="386">
        <f>+AL7*(1+$BA$3)</f>
        <v>276.49105000000003</v>
      </c>
      <c r="BB7" s="376">
        <f>+AP7</f>
        <v>21</v>
      </c>
      <c r="BC7" s="377">
        <v>8</v>
      </c>
      <c r="BD7" s="377"/>
      <c r="BE7" s="378">
        <f>+BB7+BC7-BD7</f>
        <v>29</v>
      </c>
      <c r="BG7" s="292"/>
    </row>
    <row r="8" spans="1:59" ht="15.75" thickBot="1">
      <c r="A8" s="367" t="s">
        <v>233</v>
      </c>
      <c r="B8" s="387">
        <v>1085</v>
      </c>
      <c r="C8" s="379">
        <v>7</v>
      </c>
      <c r="D8" s="380">
        <v>1</v>
      </c>
      <c r="E8" s="380"/>
      <c r="F8" s="381">
        <f>SUM(C8:E8)</f>
        <v>8</v>
      </c>
      <c r="H8" s="387">
        <v>880</v>
      </c>
      <c r="I8" s="379">
        <v>1</v>
      </c>
      <c r="J8" s="380"/>
      <c r="K8" s="380"/>
      <c r="L8" s="381">
        <f>+I8+J8-K8</f>
        <v>1</v>
      </c>
      <c r="O8" s="402"/>
      <c r="P8" s="367" t="s">
        <v>233</v>
      </c>
      <c r="Q8" s="387">
        <f>+B8*(1+$Q$3)</f>
        <v>1128.4000000000001</v>
      </c>
      <c r="R8" s="379">
        <f>+F8</f>
        <v>8</v>
      </c>
      <c r="S8" s="380">
        <v>3</v>
      </c>
      <c r="T8" s="380"/>
      <c r="U8" s="381">
        <f>SUM(R8:T8)</f>
        <v>11</v>
      </c>
      <c r="W8" s="387">
        <f>+H8*(1+$W$3)</f>
        <v>968.00000000000011</v>
      </c>
      <c r="X8" s="379">
        <f>+L8</f>
        <v>1</v>
      </c>
      <c r="Y8" s="380">
        <v>0</v>
      </c>
      <c r="Z8" s="380"/>
      <c r="AA8" s="381">
        <f>+X8+Y8-Z8</f>
        <v>1</v>
      </c>
      <c r="AC8" s="292"/>
      <c r="AE8" s="367" t="s">
        <v>233</v>
      </c>
      <c r="AF8" s="387">
        <f>+Q8*(1+$AF$3)</f>
        <v>1184.8200000000002</v>
      </c>
      <c r="AG8" s="379">
        <f>+U8</f>
        <v>11</v>
      </c>
      <c r="AH8" s="380">
        <v>3</v>
      </c>
      <c r="AI8" s="380"/>
      <c r="AJ8" s="381">
        <f>SUM(AG8:AI8)</f>
        <v>14</v>
      </c>
      <c r="AL8" s="387">
        <f>+W8*(1+$AL$3)</f>
        <v>1064.8000000000002</v>
      </c>
      <c r="AM8" s="379">
        <f>+AA8</f>
        <v>1</v>
      </c>
      <c r="AN8" s="380">
        <v>2</v>
      </c>
      <c r="AO8" s="380"/>
      <c r="AP8" s="381">
        <f>+AM8+AN8-AO8</f>
        <v>3</v>
      </c>
      <c r="AR8" s="292"/>
      <c r="AT8" s="367" t="s">
        <v>233</v>
      </c>
      <c r="AU8" s="387">
        <f>+AF8*(1+$AU$3)</f>
        <v>1303.3020000000004</v>
      </c>
      <c r="AV8" s="379">
        <f>+AJ8</f>
        <v>14</v>
      </c>
      <c r="AW8" s="380">
        <v>3</v>
      </c>
      <c r="AX8" s="380"/>
      <c r="AY8" s="381">
        <f>SUM(AV8:AX8)</f>
        <v>17</v>
      </c>
      <c r="BA8" s="387">
        <f>+AL8*(1+$BA$3)</f>
        <v>1224.5200000000002</v>
      </c>
      <c r="BB8" s="379">
        <f>+AP8</f>
        <v>3</v>
      </c>
      <c r="BC8" s="380">
        <v>2</v>
      </c>
      <c r="BD8" s="380"/>
      <c r="BE8" s="381">
        <f>+BB8+BC8-BD8</f>
        <v>5</v>
      </c>
      <c r="BG8" s="292"/>
    </row>
    <row r="9" spans="1:59" ht="15.75" thickBot="1">
      <c r="A9" s="367" t="s">
        <v>23</v>
      </c>
      <c r="B9" s="387">
        <f>SUM(B5:B8)</f>
        <v>1352.5</v>
      </c>
      <c r="C9" s="379">
        <f>SUM(C5:C8)</f>
        <v>47</v>
      </c>
      <c r="D9" s="380">
        <f t="shared" ref="D9:L9" si="0">SUM(D5:D8)</f>
        <v>26</v>
      </c>
      <c r="E9" s="380">
        <f t="shared" si="0"/>
        <v>-6</v>
      </c>
      <c r="F9" s="381">
        <f>SUM(F5:F8)</f>
        <v>67</v>
      </c>
      <c r="H9" s="387">
        <f>SUM(H5:H8)</f>
        <v>1108.5999999999999</v>
      </c>
      <c r="I9" s="379">
        <f t="shared" si="0"/>
        <v>172</v>
      </c>
      <c r="J9" s="380">
        <f t="shared" si="0"/>
        <v>35</v>
      </c>
      <c r="K9" s="380">
        <f t="shared" si="0"/>
        <v>-10</v>
      </c>
      <c r="L9" s="381">
        <f t="shared" si="0"/>
        <v>217</v>
      </c>
      <c r="O9" s="402"/>
      <c r="P9" s="367" t="s">
        <v>23</v>
      </c>
      <c r="Q9" s="387">
        <f>SUM(Q5:Q8)</f>
        <v>1406.6000000000001</v>
      </c>
      <c r="R9" s="379">
        <f>SUM(R5:R8)</f>
        <v>67</v>
      </c>
      <c r="S9" s="380">
        <f>SUM(S5:S8)</f>
        <v>34</v>
      </c>
      <c r="T9" s="380">
        <f>SUM(T5:T8)</f>
        <v>-9</v>
      </c>
      <c r="U9" s="381">
        <f>SUM(U5:U8)</f>
        <v>92</v>
      </c>
      <c r="W9" s="387">
        <f>SUM(W5:W8)</f>
        <v>1219.46</v>
      </c>
      <c r="X9" s="379">
        <f>SUM(X5:X8)</f>
        <v>217</v>
      </c>
      <c r="Y9" s="380">
        <f>SUM(Y5:Y8)</f>
        <v>41</v>
      </c>
      <c r="Z9" s="380">
        <f>SUM(Z5:Z8)</f>
        <v>-12</v>
      </c>
      <c r="AA9" s="381">
        <f>SUM(AA5:AA8)</f>
        <v>270</v>
      </c>
      <c r="AC9" s="292"/>
      <c r="AE9" s="367" t="s">
        <v>23</v>
      </c>
      <c r="AF9" s="387">
        <f>SUM(AF5:AF8)</f>
        <v>1476.9300000000003</v>
      </c>
      <c r="AG9" s="379">
        <f>SUM(AG5:AG8)</f>
        <v>92</v>
      </c>
      <c r="AH9" s="380">
        <f>SUM(AH5:AH8)</f>
        <v>36</v>
      </c>
      <c r="AI9" s="380">
        <f>SUM(AI5:AI8)</f>
        <v>-9</v>
      </c>
      <c r="AJ9" s="381">
        <f>SUM(AJ5:AJ8)</f>
        <v>119</v>
      </c>
      <c r="AL9" s="387">
        <f>SUM(AL5:AL8)</f>
        <v>1341.4060000000002</v>
      </c>
      <c r="AM9" s="379">
        <f>SUM(AM5:AM8)</f>
        <v>270</v>
      </c>
      <c r="AN9" s="380">
        <f>SUM(AN5:AN8)</f>
        <v>51</v>
      </c>
      <c r="AO9" s="380">
        <f>SUM(AO5:AO8)</f>
        <v>-8</v>
      </c>
      <c r="AP9" s="381">
        <f>SUM(AP5:AP8)</f>
        <v>329</v>
      </c>
      <c r="AR9" s="292"/>
      <c r="AT9" s="367" t="s">
        <v>23</v>
      </c>
      <c r="AU9" s="387">
        <f>SUM(AU5:AU8)</f>
        <v>1624.6230000000005</v>
      </c>
      <c r="AV9" s="379">
        <f>SUM(AV5:AV8)</f>
        <v>119</v>
      </c>
      <c r="AW9" s="380">
        <f>SUM(AW5:AW8)</f>
        <v>46</v>
      </c>
      <c r="AX9" s="380">
        <f>SUM(AX5:AX8)</f>
        <v>-9</v>
      </c>
      <c r="AY9" s="381">
        <f>SUM(AY5:AY8)</f>
        <v>156</v>
      </c>
      <c r="BA9" s="387">
        <f>SUM(BA5:BA8)</f>
        <v>1542.6169000000002</v>
      </c>
      <c r="BB9" s="379">
        <f>SUM(BB5:BB8)</f>
        <v>329</v>
      </c>
      <c r="BC9" s="380">
        <f>SUM(BC5:BC8)</f>
        <v>65</v>
      </c>
      <c r="BD9" s="380">
        <f>SUM(BD5:BD8)</f>
        <v>-8</v>
      </c>
      <c r="BE9" s="381">
        <f>SUM(BE5:BE8)</f>
        <v>402</v>
      </c>
      <c r="BG9" s="292"/>
    </row>
    <row r="10" spans="1:59">
      <c r="O10" s="402"/>
      <c r="P10" s="287"/>
      <c r="Q10" s="287"/>
      <c r="AC10" s="292"/>
      <c r="AR10" s="292"/>
      <c r="BG10" s="292"/>
    </row>
    <row r="11" spans="1:59" ht="15.75" thickBot="1">
      <c r="O11" s="402"/>
      <c r="P11" s="287"/>
      <c r="Q11" s="287"/>
      <c r="AC11" s="292"/>
      <c r="AR11" s="292"/>
      <c r="BG11" s="292"/>
    </row>
    <row r="12" spans="1:59" ht="15.75" thickBot="1">
      <c r="C12" s="871" t="s">
        <v>240</v>
      </c>
      <c r="D12" s="872"/>
      <c r="E12" s="872"/>
      <c r="F12" s="873"/>
      <c r="I12" s="868" t="s">
        <v>238</v>
      </c>
      <c r="J12" s="869"/>
      <c r="K12" s="869"/>
      <c r="L12" s="870"/>
      <c r="N12" s="400" t="s">
        <v>242</v>
      </c>
      <c r="O12" s="402"/>
      <c r="P12" s="287"/>
      <c r="Q12" s="287"/>
      <c r="R12" s="871" t="s">
        <v>240</v>
      </c>
      <c r="S12" s="872"/>
      <c r="T12" s="872"/>
      <c r="U12" s="873"/>
      <c r="X12" s="868" t="s">
        <v>238</v>
      </c>
      <c r="Y12" s="869"/>
      <c r="Z12" s="869"/>
      <c r="AA12" s="870"/>
      <c r="AC12" s="400" t="s">
        <v>242</v>
      </c>
      <c r="AG12" s="871" t="s">
        <v>240</v>
      </c>
      <c r="AH12" s="872"/>
      <c r="AI12" s="872"/>
      <c r="AJ12" s="873"/>
      <c r="AM12" s="868" t="s">
        <v>238</v>
      </c>
      <c r="AN12" s="869"/>
      <c r="AO12" s="869"/>
      <c r="AP12" s="870"/>
      <c r="AR12" s="400" t="s">
        <v>242</v>
      </c>
      <c r="AV12" s="871" t="s">
        <v>240</v>
      </c>
      <c r="AW12" s="872"/>
      <c r="AX12" s="872"/>
      <c r="AY12" s="873"/>
      <c r="BB12" s="868" t="s">
        <v>238</v>
      </c>
      <c r="BC12" s="869"/>
      <c r="BD12" s="869"/>
      <c r="BE12" s="870"/>
      <c r="BG12" s="400" t="s">
        <v>242</v>
      </c>
    </row>
    <row r="13" spans="1:59" ht="30.75" thickBot="1">
      <c r="A13" s="403" t="s">
        <v>236</v>
      </c>
      <c r="C13" s="370" t="s">
        <v>234</v>
      </c>
      <c r="D13" s="371" t="s">
        <v>79</v>
      </c>
      <c r="E13" s="371" t="s">
        <v>80</v>
      </c>
      <c r="F13" s="372" t="s">
        <v>168</v>
      </c>
      <c r="I13" s="370" t="s">
        <v>234</v>
      </c>
      <c r="J13" s="371" t="s">
        <v>79</v>
      </c>
      <c r="K13" s="371" t="s">
        <v>80</v>
      </c>
      <c r="L13" s="372" t="s">
        <v>168</v>
      </c>
      <c r="N13" s="423" t="s">
        <v>11</v>
      </c>
      <c r="O13" s="402"/>
      <c r="P13" s="403" t="s">
        <v>236</v>
      </c>
      <c r="Q13" s="287"/>
      <c r="R13" s="370" t="s">
        <v>234</v>
      </c>
      <c r="S13" s="371" t="s">
        <v>79</v>
      </c>
      <c r="T13" s="371" t="s">
        <v>80</v>
      </c>
      <c r="U13" s="372" t="s">
        <v>168</v>
      </c>
      <c r="X13" s="370" t="s">
        <v>234</v>
      </c>
      <c r="Y13" s="371" t="s">
        <v>79</v>
      </c>
      <c r="Z13" s="371" t="s">
        <v>80</v>
      </c>
      <c r="AA13" s="372" t="s">
        <v>168</v>
      </c>
      <c r="AC13" s="423" t="s">
        <v>12</v>
      </c>
      <c r="AE13" s="403" t="s">
        <v>236</v>
      </c>
      <c r="AG13" s="370" t="s">
        <v>234</v>
      </c>
      <c r="AH13" s="371" t="s">
        <v>79</v>
      </c>
      <c r="AI13" s="371" t="s">
        <v>80</v>
      </c>
      <c r="AJ13" s="372" t="s">
        <v>168</v>
      </c>
      <c r="AM13" s="370" t="s">
        <v>234</v>
      </c>
      <c r="AN13" s="371" t="s">
        <v>79</v>
      </c>
      <c r="AO13" s="371" t="s">
        <v>80</v>
      </c>
      <c r="AP13" s="372" t="s">
        <v>168</v>
      </c>
      <c r="AR13" s="423" t="s">
        <v>13</v>
      </c>
      <c r="AT13" s="403" t="s">
        <v>236</v>
      </c>
      <c r="AV13" s="370" t="s">
        <v>234</v>
      </c>
      <c r="AW13" s="371" t="s">
        <v>79</v>
      </c>
      <c r="AX13" s="371" t="s">
        <v>80</v>
      </c>
      <c r="AY13" s="372" t="s">
        <v>168</v>
      </c>
      <c r="BB13" s="370" t="s">
        <v>234</v>
      </c>
      <c r="BC13" s="371" t="s">
        <v>79</v>
      </c>
      <c r="BD13" s="371" t="s">
        <v>80</v>
      </c>
      <c r="BE13" s="372" t="s">
        <v>168</v>
      </c>
      <c r="BG13" s="423" t="s">
        <v>14</v>
      </c>
    </row>
    <row r="14" spans="1:59">
      <c r="A14" s="367" t="s">
        <v>188</v>
      </c>
      <c r="C14" s="388">
        <f>+B5*C5</f>
        <v>44.400000000000006</v>
      </c>
      <c r="D14" s="389">
        <f t="shared" ref="D14:E17" si="1">+B5*D5</f>
        <v>55.5</v>
      </c>
      <c r="E14" s="389">
        <f t="shared" si="1"/>
        <v>-36</v>
      </c>
      <c r="F14" s="390">
        <f>+C14+D14-E14</f>
        <v>135.9</v>
      </c>
      <c r="G14" s="292"/>
      <c r="H14" s="292"/>
      <c r="I14" s="388">
        <f>+H5*I5</f>
        <v>239.2</v>
      </c>
      <c r="J14" s="389">
        <f t="shared" ref="J14:K17" si="2">+H5*J5</f>
        <v>39.099999999999994</v>
      </c>
      <c r="K14" s="389">
        <f t="shared" si="2"/>
        <v>-728</v>
      </c>
      <c r="L14" s="390">
        <f>+I14+J14-K14</f>
        <v>1006.3</v>
      </c>
      <c r="N14" s="398">
        <f>(L14+F14)</f>
        <v>1142.2</v>
      </c>
      <c r="O14" s="402"/>
      <c r="P14" s="367" t="s">
        <v>188</v>
      </c>
      <c r="Q14" s="287"/>
      <c r="R14" s="388">
        <f>+Q5*R5</f>
        <v>92.352000000000004</v>
      </c>
      <c r="S14" s="389">
        <f t="shared" ref="S14:T17" si="3">+Q5*S5</f>
        <v>57.720000000000006</v>
      </c>
      <c r="T14" s="389">
        <f t="shared" si="3"/>
        <v>-120</v>
      </c>
      <c r="U14" s="390">
        <f>+R14+S14-T14</f>
        <v>270.072</v>
      </c>
      <c r="V14" s="292"/>
      <c r="W14" s="292"/>
      <c r="X14" s="388">
        <f>+W5*X5</f>
        <v>323.83999999999997</v>
      </c>
      <c r="Y14" s="389">
        <f t="shared" ref="Y14:Z17" si="4">+W5*Y5</f>
        <v>43.01</v>
      </c>
      <c r="Z14" s="389">
        <f t="shared" si="4"/>
        <v>-896</v>
      </c>
      <c r="AA14" s="390">
        <f>+X14+Y14-Z14</f>
        <v>1262.8499999999999</v>
      </c>
      <c r="AC14" s="398">
        <f>(AA14+U14)</f>
        <v>1532.922</v>
      </c>
      <c r="AE14" s="367" t="s">
        <v>188</v>
      </c>
      <c r="AG14" s="388">
        <f>+AF5*AG5</f>
        <v>137.37360000000004</v>
      </c>
      <c r="AH14" s="389">
        <f t="shared" ref="AH14:AI17" si="5">+AF5*AH5</f>
        <v>60.606000000000016</v>
      </c>
      <c r="AI14" s="389">
        <f t="shared" si="5"/>
        <v>-170</v>
      </c>
      <c r="AJ14" s="390">
        <f>+AG14+AH14-AI14</f>
        <v>367.97960000000006</v>
      </c>
      <c r="AK14" s="292"/>
      <c r="AL14" s="292"/>
      <c r="AM14" s="388">
        <f>+AL5*AM5</f>
        <v>423.01599999999996</v>
      </c>
      <c r="AN14" s="389">
        <f t="shared" ref="AN14:AO17" si="6">+AL5*AN5</f>
        <v>55.66</v>
      </c>
      <c r="AO14" s="389">
        <f t="shared" si="6"/>
        <v>-608</v>
      </c>
      <c r="AP14" s="390">
        <f>+AM14+AN14-AO14</f>
        <v>1086.6759999999999</v>
      </c>
      <c r="AR14" s="398">
        <f>(AP14+AJ14)</f>
        <v>1454.6556</v>
      </c>
      <c r="AT14" s="367" t="s">
        <v>188</v>
      </c>
      <c r="AV14" s="388">
        <f>+AU5*AV5</f>
        <v>195.55536000000004</v>
      </c>
      <c r="AW14" s="389">
        <f t="shared" ref="AW14:AX17" si="7">+AU5*AW5</f>
        <v>79.999920000000017</v>
      </c>
      <c r="AX14" s="389">
        <f t="shared" si="7"/>
        <v>-220</v>
      </c>
      <c r="AY14" s="390">
        <f>+AV14+AW14-AX14</f>
        <v>495.55528000000004</v>
      </c>
      <c r="AZ14" s="292"/>
      <c r="BA14" s="292"/>
      <c r="BB14" s="388">
        <f>+BA5*BB5</f>
        <v>563.27919999999995</v>
      </c>
      <c r="BC14" s="389">
        <f t="shared" ref="BC14:BD17" si="8">+BA5*BC5</f>
        <v>80.01124999999999</v>
      </c>
      <c r="BD14" s="389">
        <f t="shared" si="8"/>
        <v>-704</v>
      </c>
      <c r="BE14" s="390">
        <f>+BB14+BC14-BD14</f>
        <v>1347.29045</v>
      </c>
      <c r="BG14" s="398">
        <f>(BE14+AY14)</f>
        <v>1842.84573</v>
      </c>
    </row>
    <row r="15" spans="1:59">
      <c r="A15" s="367" t="s">
        <v>232</v>
      </c>
      <c r="C15" s="391">
        <f>+B6*C6</f>
        <v>837.9</v>
      </c>
      <c r="D15" s="392">
        <f t="shared" si="1"/>
        <v>308.7</v>
      </c>
      <c r="E15" s="392">
        <f t="shared" si="1"/>
        <v>-38</v>
      </c>
      <c r="F15" s="393">
        <f>+C15+D15-E15</f>
        <v>1184.5999999999999</v>
      </c>
      <c r="G15" s="292"/>
      <c r="H15" s="292"/>
      <c r="I15" s="391">
        <f>+H6*I6</f>
        <v>1573.2</v>
      </c>
      <c r="J15" s="392">
        <f t="shared" si="2"/>
        <v>414</v>
      </c>
      <c r="K15" s="392">
        <f t="shared" si="2"/>
        <v>-171</v>
      </c>
      <c r="L15" s="393">
        <f>+I15+J15-K15</f>
        <v>2158.1999999999998</v>
      </c>
      <c r="N15" s="399">
        <f>(L15+F15)</f>
        <v>3342.7999999999997</v>
      </c>
      <c r="O15" s="402"/>
      <c r="P15" s="367" t="s">
        <v>232</v>
      </c>
      <c r="Q15" s="287"/>
      <c r="R15" s="391">
        <f>+Q6*R6</f>
        <v>1100.7360000000001</v>
      </c>
      <c r="S15" s="392">
        <f t="shared" si="3"/>
        <v>458.64000000000004</v>
      </c>
      <c r="T15" s="392">
        <f t="shared" si="3"/>
        <v>-72</v>
      </c>
      <c r="U15" s="393">
        <f>+R15+S15-T15</f>
        <v>1631.3760000000002</v>
      </c>
      <c r="V15" s="292"/>
      <c r="W15" s="292"/>
      <c r="X15" s="391">
        <f>+W6*X6</f>
        <v>2277</v>
      </c>
      <c r="Y15" s="392">
        <f t="shared" si="4"/>
        <v>607.20000000000005</v>
      </c>
      <c r="Z15" s="392">
        <f t="shared" si="4"/>
        <v>-375</v>
      </c>
      <c r="AA15" s="393">
        <f>+X15+Y15-Z15</f>
        <v>3259.2</v>
      </c>
      <c r="AC15" s="399">
        <f>(AA15+U15)</f>
        <v>4890.576</v>
      </c>
      <c r="AE15" s="367" t="s">
        <v>232</v>
      </c>
      <c r="AG15" s="391">
        <f>+AF6*AG6</f>
        <v>1492.8732</v>
      </c>
      <c r="AH15" s="392">
        <f t="shared" si="5"/>
        <v>481.572</v>
      </c>
      <c r="AI15" s="392">
        <f t="shared" si="5"/>
        <v>-93</v>
      </c>
      <c r="AJ15" s="393">
        <f>+AG15+AH15-AI15</f>
        <v>2067.4452000000001</v>
      </c>
      <c r="AK15" s="292"/>
      <c r="AL15" s="292"/>
      <c r="AM15" s="391">
        <f>+AL6*AM6</f>
        <v>3339.6000000000008</v>
      </c>
      <c r="AN15" s="392">
        <f t="shared" si="6"/>
        <v>834.9000000000002</v>
      </c>
      <c r="AO15" s="392">
        <f t="shared" si="6"/>
        <v>-400</v>
      </c>
      <c r="AP15" s="393">
        <f>+AM15+AN15-AO15</f>
        <v>4574.5000000000009</v>
      </c>
      <c r="AR15" s="399">
        <f>(AP15+AJ15)</f>
        <v>6641.945200000001</v>
      </c>
      <c r="AT15" s="367" t="s">
        <v>232</v>
      </c>
      <c r="AV15" s="391">
        <f>+AU6*AV6</f>
        <v>2012.9709600000003</v>
      </c>
      <c r="AW15" s="392">
        <f t="shared" si="7"/>
        <v>794.5938000000001</v>
      </c>
      <c r="AX15" s="392">
        <f t="shared" si="7"/>
        <v>-114</v>
      </c>
      <c r="AY15" s="393">
        <f>+AV15+AW15-AX15</f>
        <v>2921.5647600000002</v>
      </c>
      <c r="AZ15" s="292"/>
      <c r="BA15" s="292"/>
      <c r="BB15" s="391">
        <f>+BA6*BB6</f>
        <v>4954.2966000000006</v>
      </c>
      <c r="BC15" s="392">
        <f t="shared" si="8"/>
        <v>1152.1620000000003</v>
      </c>
      <c r="BD15" s="392">
        <f t="shared" si="8"/>
        <v>-516</v>
      </c>
      <c r="BE15" s="393">
        <f>+BB15+BC15-BD15</f>
        <v>6622.4586000000008</v>
      </c>
      <c r="BG15" s="399">
        <f>(BE15+AY15)</f>
        <v>9544.023360000001</v>
      </c>
    </row>
    <row r="16" spans="1:59">
      <c r="A16" s="367" t="s">
        <v>189</v>
      </c>
      <c r="C16" s="391">
        <f>+B7*C7</f>
        <v>1977.3</v>
      </c>
      <c r="D16" s="392">
        <f t="shared" si="1"/>
        <v>659.09999999999991</v>
      </c>
      <c r="E16" s="392">
        <f t="shared" si="1"/>
        <v>-9</v>
      </c>
      <c r="F16" s="393">
        <f>+C16+D16-E16</f>
        <v>2645.3999999999996</v>
      </c>
      <c r="G16" s="292"/>
      <c r="H16" s="292"/>
      <c r="I16" s="391">
        <f>+H7*I7</f>
        <v>1987</v>
      </c>
      <c r="J16" s="392">
        <f t="shared" si="2"/>
        <v>596.09999999999991</v>
      </c>
      <c r="K16" s="392">
        <f t="shared" si="2"/>
        <v>0</v>
      </c>
      <c r="L16" s="393">
        <f>+I16+J16-K16</f>
        <v>2583.1</v>
      </c>
      <c r="N16" s="399">
        <f>(L16+F16)</f>
        <v>5228.5</v>
      </c>
      <c r="O16" s="402"/>
      <c r="P16" s="367" t="s">
        <v>189</v>
      </c>
      <c r="Q16" s="287"/>
      <c r="R16" s="391">
        <f>+Q7*R7</f>
        <v>2513.3679999999999</v>
      </c>
      <c r="S16" s="392">
        <f t="shared" si="3"/>
        <v>1370.9279999999999</v>
      </c>
      <c r="T16" s="392">
        <f t="shared" si="3"/>
        <v>-11</v>
      </c>
      <c r="U16" s="393">
        <f>+R16+S16-T16</f>
        <v>3895.2959999999998</v>
      </c>
      <c r="V16" s="292"/>
      <c r="W16" s="292"/>
      <c r="X16" s="391">
        <f>+W7*X7</f>
        <v>2841.41</v>
      </c>
      <c r="Y16" s="392">
        <f t="shared" si="4"/>
        <v>874.28</v>
      </c>
      <c r="Z16" s="392">
        <f t="shared" si="4"/>
        <v>0</v>
      </c>
      <c r="AA16" s="393">
        <f>+X16+Y16-Z16</f>
        <v>3715.6899999999996</v>
      </c>
      <c r="AC16" s="399">
        <f>(AA16+U16)</f>
        <v>7610.985999999999</v>
      </c>
      <c r="AE16" s="367" t="s">
        <v>189</v>
      </c>
      <c r="AG16" s="391">
        <f>+AF7*AG7</f>
        <v>3838.5984000000003</v>
      </c>
      <c r="AH16" s="392">
        <f t="shared" si="5"/>
        <v>1919.2992000000002</v>
      </c>
      <c r="AI16" s="392">
        <f t="shared" si="5"/>
        <v>-16</v>
      </c>
      <c r="AJ16" s="393">
        <f>+AG16+AH16-AI16</f>
        <v>5773.8976000000002</v>
      </c>
      <c r="AK16" s="292"/>
      <c r="AL16" s="292"/>
      <c r="AM16" s="391">
        <f>+AL7*AM7</f>
        <v>4087.2590000000005</v>
      </c>
      <c r="AN16" s="392">
        <f t="shared" si="6"/>
        <v>961.70800000000008</v>
      </c>
      <c r="AO16" s="392">
        <f t="shared" si="6"/>
        <v>0</v>
      </c>
      <c r="AP16" s="393">
        <f>+AM16+AN16-AO16</f>
        <v>5048.9670000000006</v>
      </c>
      <c r="AR16" s="399">
        <f>(AP16+AJ16)</f>
        <v>10822.864600000001</v>
      </c>
      <c r="AT16" s="367" t="s">
        <v>189</v>
      </c>
      <c r="AV16" s="391">
        <f>+AU7*AV7</f>
        <v>6069.7837200000013</v>
      </c>
      <c r="AW16" s="392">
        <f t="shared" si="7"/>
        <v>2639.0364000000004</v>
      </c>
      <c r="AX16" s="392">
        <f t="shared" si="7"/>
        <v>-23</v>
      </c>
      <c r="AY16" s="393">
        <f>+AV16+AW16-AX16</f>
        <v>8731.8201200000021</v>
      </c>
      <c r="AZ16" s="292"/>
      <c r="BA16" s="292"/>
      <c r="BB16" s="391">
        <f>+BA7*BB7</f>
        <v>5806.3120500000005</v>
      </c>
      <c r="BC16" s="392">
        <f t="shared" si="8"/>
        <v>2211.9284000000002</v>
      </c>
      <c r="BD16" s="392">
        <f t="shared" si="8"/>
        <v>0</v>
      </c>
      <c r="BE16" s="393">
        <f>+BB16+BC16-BD16</f>
        <v>8018.2404500000011</v>
      </c>
      <c r="BG16" s="399">
        <f>(BE16+AY16)</f>
        <v>16750.060570000001</v>
      </c>
    </row>
    <row r="17" spans="1:59" ht="15.75" thickBot="1">
      <c r="A17" s="367" t="s">
        <v>233</v>
      </c>
      <c r="C17" s="394">
        <f>+B8*C8</f>
        <v>7595</v>
      </c>
      <c r="D17" s="395">
        <f t="shared" si="1"/>
        <v>1085</v>
      </c>
      <c r="E17" s="395">
        <f t="shared" si="1"/>
        <v>0</v>
      </c>
      <c r="F17" s="396">
        <f>+C17+D17-E17</f>
        <v>8680</v>
      </c>
      <c r="G17" s="292"/>
      <c r="H17" s="292"/>
      <c r="I17" s="394">
        <f>+H8*I8</f>
        <v>880</v>
      </c>
      <c r="J17" s="395">
        <f t="shared" si="2"/>
        <v>0</v>
      </c>
      <c r="K17" s="395">
        <f t="shared" si="2"/>
        <v>0</v>
      </c>
      <c r="L17" s="396">
        <f>+I17+J17-K17</f>
        <v>880</v>
      </c>
      <c r="N17" s="399">
        <f>(L17+F17)</f>
        <v>9560</v>
      </c>
      <c r="O17" s="402"/>
      <c r="P17" s="367" t="s">
        <v>233</v>
      </c>
      <c r="Q17" s="287"/>
      <c r="R17" s="394">
        <f>+Q8*R8</f>
        <v>9027.2000000000007</v>
      </c>
      <c r="S17" s="395">
        <f t="shared" si="3"/>
        <v>3385.2000000000003</v>
      </c>
      <c r="T17" s="395">
        <f t="shared" si="3"/>
        <v>0</v>
      </c>
      <c r="U17" s="396">
        <f>+R17+S17-T17</f>
        <v>12412.400000000001</v>
      </c>
      <c r="V17" s="292"/>
      <c r="W17" s="292"/>
      <c r="X17" s="394">
        <f>+W8*X8</f>
        <v>968.00000000000011</v>
      </c>
      <c r="Y17" s="395">
        <f t="shared" si="4"/>
        <v>0</v>
      </c>
      <c r="Z17" s="395">
        <f t="shared" si="4"/>
        <v>0</v>
      </c>
      <c r="AA17" s="396">
        <f>+X17+Y17-Z17</f>
        <v>968.00000000000011</v>
      </c>
      <c r="AC17" s="399">
        <f>(AA17+U17)</f>
        <v>13380.400000000001</v>
      </c>
      <c r="AE17" s="367" t="s">
        <v>233</v>
      </c>
      <c r="AG17" s="394">
        <f>+AF8*AG8</f>
        <v>13033.020000000002</v>
      </c>
      <c r="AH17" s="395">
        <f t="shared" si="5"/>
        <v>3554.4600000000005</v>
      </c>
      <c r="AI17" s="395">
        <f t="shared" si="5"/>
        <v>0</v>
      </c>
      <c r="AJ17" s="396">
        <f>+AG17+AH17-AI17</f>
        <v>16587.480000000003</v>
      </c>
      <c r="AK17" s="292"/>
      <c r="AL17" s="292"/>
      <c r="AM17" s="394">
        <f>+AL8*AM8</f>
        <v>1064.8000000000002</v>
      </c>
      <c r="AN17" s="395">
        <f t="shared" si="6"/>
        <v>2129.6000000000004</v>
      </c>
      <c r="AO17" s="395">
        <f t="shared" si="6"/>
        <v>0</v>
      </c>
      <c r="AP17" s="396">
        <f>+AM17+AN17-AO17</f>
        <v>3194.4000000000005</v>
      </c>
      <c r="AR17" s="399">
        <f>(AP17+AJ17)</f>
        <v>19781.880000000005</v>
      </c>
      <c r="AT17" s="367" t="s">
        <v>233</v>
      </c>
      <c r="AV17" s="394">
        <f>+AU8*AV8</f>
        <v>18246.228000000006</v>
      </c>
      <c r="AW17" s="395">
        <f t="shared" si="7"/>
        <v>3909.9060000000009</v>
      </c>
      <c r="AX17" s="395">
        <f t="shared" si="7"/>
        <v>0</v>
      </c>
      <c r="AY17" s="396">
        <f>+AV17+AW17-AX17</f>
        <v>22156.134000000005</v>
      </c>
      <c r="AZ17" s="292"/>
      <c r="BA17" s="292"/>
      <c r="BB17" s="394">
        <f>+BA8*BB8</f>
        <v>3673.5600000000004</v>
      </c>
      <c r="BC17" s="395">
        <f t="shared" si="8"/>
        <v>2449.0400000000004</v>
      </c>
      <c r="BD17" s="395">
        <f t="shared" si="8"/>
        <v>0</v>
      </c>
      <c r="BE17" s="396">
        <f>+BB17+BC17-BD17</f>
        <v>6122.6</v>
      </c>
      <c r="BG17" s="399">
        <f>(BE17+AY17)</f>
        <v>28278.734000000004</v>
      </c>
    </row>
    <row r="18" spans="1:59" ht="15.75" thickBot="1">
      <c r="A18" s="367" t="s">
        <v>23</v>
      </c>
      <c r="C18" s="394">
        <f>SUM(C14:C17)</f>
        <v>10454.6</v>
      </c>
      <c r="D18" s="395">
        <f>SUM(D14:D17)</f>
        <v>2108.3000000000002</v>
      </c>
      <c r="E18" s="395">
        <f>SUM(E14:E17)</f>
        <v>-83</v>
      </c>
      <c r="F18" s="396">
        <f>SUM(F14:F17)</f>
        <v>12645.9</v>
      </c>
      <c r="G18" s="292"/>
      <c r="H18" s="292"/>
      <c r="I18" s="394">
        <f>SUM(I14:I17)</f>
        <v>4679.3999999999996</v>
      </c>
      <c r="J18" s="395">
        <f>SUM(J14:J17)</f>
        <v>1049.1999999999998</v>
      </c>
      <c r="K18" s="395">
        <f>SUM(K14:K17)</f>
        <v>-899</v>
      </c>
      <c r="L18" s="396">
        <f>SUM(L14:L17)</f>
        <v>6627.6</v>
      </c>
      <c r="N18" s="397">
        <f>SUM(N14:N17)</f>
        <v>19273.5</v>
      </c>
      <c r="O18" s="402"/>
      <c r="P18" s="367" t="s">
        <v>23</v>
      </c>
      <c r="Q18" s="287"/>
      <c r="R18" s="394">
        <f>SUM(R14:R17)</f>
        <v>12733.656000000001</v>
      </c>
      <c r="S18" s="395">
        <f>SUM(S14:S17)</f>
        <v>5272.4880000000003</v>
      </c>
      <c r="T18" s="395">
        <f>SUM(T14:T17)</f>
        <v>-203</v>
      </c>
      <c r="U18" s="396">
        <f>SUM(U14:U17)</f>
        <v>18209.144</v>
      </c>
      <c r="V18" s="292"/>
      <c r="W18" s="292"/>
      <c r="X18" s="394">
        <f>SUM(X14:X17)</f>
        <v>6410.25</v>
      </c>
      <c r="Y18" s="395">
        <f>SUM(Y14:Y17)</f>
        <v>1524.49</v>
      </c>
      <c r="Z18" s="395">
        <f>SUM(Z14:Z17)</f>
        <v>-1271</v>
      </c>
      <c r="AA18" s="396">
        <f>SUM(AA14:AA17)</f>
        <v>9205.739999999998</v>
      </c>
      <c r="AC18" s="397">
        <f>SUM(AC14:AC17)</f>
        <v>27414.883999999998</v>
      </c>
      <c r="AE18" s="367" t="s">
        <v>23</v>
      </c>
      <c r="AG18" s="394">
        <f>SUM(AG14:AG17)</f>
        <v>18501.865200000004</v>
      </c>
      <c r="AH18" s="395">
        <f>SUM(AH14:AH17)</f>
        <v>6015.9372000000003</v>
      </c>
      <c r="AI18" s="395">
        <f>SUM(AI14:AI17)</f>
        <v>-279</v>
      </c>
      <c r="AJ18" s="396">
        <f>SUM(AJ14:AJ17)</f>
        <v>24796.802400000004</v>
      </c>
      <c r="AK18" s="292"/>
      <c r="AL18" s="292"/>
      <c r="AM18" s="394">
        <f>SUM(AM14:AM17)</f>
        <v>8914.6750000000029</v>
      </c>
      <c r="AN18" s="395">
        <f>SUM(AN14:AN17)</f>
        <v>3981.8680000000004</v>
      </c>
      <c r="AO18" s="395">
        <f>SUM(AO14:AO17)</f>
        <v>-1008</v>
      </c>
      <c r="AP18" s="396">
        <f>SUM(AP14:AP17)</f>
        <v>13904.543000000001</v>
      </c>
      <c r="AR18" s="397">
        <f>SUM(AR14:AR17)</f>
        <v>38701.345400000006</v>
      </c>
      <c r="AT18" s="367" t="s">
        <v>23</v>
      </c>
      <c r="AV18" s="394">
        <f>SUM(AV14:AV17)</f>
        <v>26524.538040000007</v>
      </c>
      <c r="AW18" s="395">
        <f>SUM(AW14:AW17)</f>
        <v>7423.5361200000016</v>
      </c>
      <c r="AX18" s="395">
        <f>SUM(AX14:AX17)</f>
        <v>-357</v>
      </c>
      <c r="AY18" s="396">
        <f>SUM(AY14:AY17)</f>
        <v>34305.074160000004</v>
      </c>
      <c r="AZ18" s="292"/>
      <c r="BA18" s="292"/>
      <c r="BB18" s="394">
        <f>SUM(BB14:BB17)</f>
        <v>14997.44785</v>
      </c>
      <c r="BC18" s="395">
        <f>SUM(BC14:BC17)</f>
        <v>5893.1416500000014</v>
      </c>
      <c r="BD18" s="395">
        <f>SUM(BD14:BD17)</f>
        <v>-1220</v>
      </c>
      <c r="BE18" s="396">
        <f>SUM(BE14:BE17)</f>
        <v>22110.589500000002</v>
      </c>
      <c r="BG18" s="397">
        <f>SUM(BG14:BG17)</f>
        <v>56415.663660000006</v>
      </c>
    </row>
    <row r="19" spans="1:59">
      <c r="O19" s="402"/>
      <c r="P19" s="287"/>
      <c r="Q19" s="287"/>
      <c r="AC19" s="292"/>
      <c r="AR19" s="292"/>
      <c r="BG19" s="292"/>
    </row>
    <row r="20" spans="1:59">
      <c r="O20" s="402"/>
      <c r="P20" s="287"/>
      <c r="Q20" s="287"/>
      <c r="AC20" s="292"/>
      <c r="AR20" s="292"/>
      <c r="BG20" s="292"/>
    </row>
    <row r="21" spans="1:59" ht="15.75">
      <c r="A21" s="288"/>
      <c r="B21" s="288"/>
      <c r="C21" s="288"/>
      <c r="D21" s="288"/>
      <c r="E21" s="288"/>
      <c r="F21" s="288"/>
      <c r="G21" s="382"/>
      <c r="H21" s="288"/>
      <c r="I21" s="288"/>
      <c r="J21" s="288"/>
      <c r="K21" s="288"/>
      <c r="L21" s="288"/>
      <c r="M21" s="288"/>
      <c r="N21" s="291"/>
      <c r="O21" s="402"/>
      <c r="P21" s="288"/>
      <c r="Q21" s="288"/>
      <c r="R21" s="288"/>
      <c r="S21" s="288"/>
      <c r="T21" s="288"/>
      <c r="U21" s="288"/>
      <c r="V21" s="382"/>
      <c r="W21" s="288"/>
      <c r="X21" s="288"/>
      <c r="Y21" s="288"/>
      <c r="Z21" s="288"/>
      <c r="AA21" s="288"/>
      <c r="AB21" s="288"/>
      <c r="AC21" s="291"/>
      <c r="AE21" s="288"/>
      <c r="AF21" s="288"/>
      <c r="AG21" s="288"/>
      <c r="AH21" s="288"/>
      <c r="AI21" s="288"/>
      <c r="AJ21" s="288"/>
      <c r="AK21" s="382"/>
      <c r="AL21" s="288"/>
      <c r="AM21" s="288"/>
      <c r="AN21" s="288"/>
      <c r="AO21" s="288"/>
      <c r="AP21" s="288"/>
      <c r="AQ21" s="288"/>
      <c r="AR21" s="291"/>
      <c r="AT21" s="288"/>
      <c r="AU21" s="288"/>
      <c r="AV21" s="288"/>
      <c r="AW21" s="288"/>
      <c r="AX21" s="288"/>
      <c r="AY21" s="288"/>
      <c r="AZ21" s="382"/>
      <c r="BA21" s="288"/>
      <c r="BB21" s="288"/>
      <c r="BC21" s="288"/>
      <c r="BD21" s="288"/>
      <c r="BE21" s="288"/>
      <c r="BF21" s="288"/>
      <c r="BG21" s="291"/>
    </row>
    <row r="22" spans="1:59" ht="15.75" thickBot="1">
      <c r="O22" s="402"/>
      <c r="P22" s="287"/>
      <c r="Q22" s="287"/>
      <c r="AC22" s="292"/>
      <c r="AR22" s="292"/>
      <c r="BG22" s="292"/>
    </row>
    <row r="23" spans="1:59" ht="15.75" thickBot="1">
      <c r="C23" s="871" t="s">
        <v>237</v>
      </c>
      <c r="D23" s="872"/>
      <c r="E23" s="872"/>
      <c r="F23" s="873"/>
      <c r="I23" s="868" t="s">
        <v>238</v>
      </c>
      <c r="J23" s="869"/>
      <c r="K23" s="869"/>
      <c r="L23" s="870"/>
      <c r="O23" s="402"/>
      <c r="P23" s="417"/>
      <c r="Q23" s="418"/>
      <c r="R23" s="871" t="s">
        <v>237</v>
      </c>
      <c r="S23" s="872"/>
      <c r="T23" s="872"/>
      <c r="U23" s="873"/>
      <c r="W23" s="418"/>
      <c r="X23" s="868" t="s">
        <v>238</v>
      </c>
      <c r="Y23" s="869"/>
      <c r="Z23" s="869"/>
      <c r="AA23" s="870"/>
      <c r="AC23" s="292"/>
      <c r="AG23" s="871" t="s">
        <v>237</v>
      </c>
      <c r="AH23" s="872"/>
      <c r="AI23" s="872"/>
      <c r="AJ23" s="873"/>
      <c r="AM23" s="868" t="s">
        <v>238</v>
      </c>
      <c r="AN23" s="869"/>
      <c r="AO23" s="869"/>
      <c r="AP23" s="870"/>
      <c r="AR23" s="292"/>
      <c r="AV23" s="871" t="s">
        <v>237</v>
      </c>
      <c r="AW23" s="872"/>
      <c r="AX23" s="872"/>
      <c r="AY23" s="873"/>
      <c r="BB23" s="868" t="s">
        <v>238</v>
      </c>
      <c r="BC23" s="869"/>
      <c r="BD23" s="869"/>
      <c r="BE23" s="870"/>
      <c r="BG23" s="292"/>
    </row>
    <row r="24" spans="1:59" ht="30.75" thickBot="1">
      <c r="A24" s="383" t="s">
        <v>245</v>
      </c>
      <c r="B24" s="384" t="s">
        <v>239</v>
      </c>
      <c r="C24" s="370" t="s">
        <v>234</v>
      </c>
      <c r="D24" s="371" t="s">
        <v>79</v>
      </c>
      <c r="E24" s="371" t="s">
        <v>80</v>
      </c>
      <c r="F24" s="372" t="s">
        <v>168</v>
      </c>
      <c r="H24" s="384" t="s">
        <v>239</v>
      </c>
      <c r="I24" s="370" t="s">
        <v>234</v>
      </c>
      <c r="J24" s="371" t="s">
        <v>79</v>
      </c>
      <c r="K24" s="371" t="s">
        <v>80</v>
      </c>
      <c r="L24" s="372" t="s">
        <v>168</v>
      </c>
      <c r="M24" s="368"/>
      <c r="N24" s="369"/>
      <c r="O24" s="402"/>
      <c r="P24" s="383" t="s">
        <v>245</v>
      </c>
      <c r="Q24" s="384" t="s">
        <v>239</v>
      </c>
      <c r="R24" s="370" t="s">
        <v>234</v>
      </c>
      <c r="S24" s="371" t="s">
        <v>79</v>
      </c>
      <c r="T24" s="371" t="s">
        <v>80</v>
      </c>
      <c r="U24" s="372" t="s">
        <v>168</v>
      </c>
      <c r="W24" s="384" t="s">
        <v>239</v>
      </c>
      <c r="X24" s="370" t="s">
        <v>234</v>
      </c>
      <c r="Y24" s="371" t="s">
        <v>79</v>
      </c>
      <c r="Z24" s="371" t="s">
        <v>80</v>
      </c>
      <c r="AA24" s="372" t="s">
        <v>168</v>
      </c>
      <c r="AB24" s="368"/>
      <c r="AC24" s="369"/>
      <c r="AE24" s="383" t="s">
        <v>245</v>
      </c>
      <c r="AF24" s="384" t="s">
        <v>239</v>
      </c>
      <c r="AG24" s="370" t="s">
        <v>234</v>
      </c>
      <c r="AH24" s="371" t="s">
        <v>79</v>
      </c>
      <c r="AI24" s="371" t="s">
        <v>80</v>
      </c>
      <c r="AJ24" s="372" t="s">
        <v>168</v>
      </c>
      <c r="AL24" s="384" t="s">
        <v>239</v>
      </c>
      <c r="AM24" s="370" t="s">
        <v>234</v>
      </c>
      <c r="AN24" s="371" t="s">
        <v>79</v>
      </c>
      <c r="AO24" s="371" t="s">
        <v>80</v>
      </c>
      <c r="AP24" s="372" t="s">
        <v>168</v>
      </c>
      <c r="AQ24" s="368"/>
      <c r="AR24" s="369"/>
      <c r="AT24" s="383" t="s">
        <v>245</v>
      </c>
      <c r="AU24" s="384" t="s">
        <v>239</v>
      </c>
      <c r="AV24" s="370" t="s">
        <v>234</v>
      </c>
      <c r="AW24" s="371" t="s">
        <v>79</v>
      </c>
      <c r="AX24" s="371" t="s">
        <v>80</v>
      </c>
      <c r="AY24" s="372" t="s">
        <v>168</v>
      </c>
      <c r="BA24" s="384" t="s">
        <v>239</v>
      </c>
      <c r="BB24" s="370" t="s">
        <v>234</v>
      </c>
      <c r="BC24" s="371" t="s">
        <v>79</v>
      </c>
      <c r="BD24" s="371" t="s">
        <v>80</v>
      </c>
      <c r="BE24" s="372" t="s">
        <v>168</v>
      </c>
      <c r="BF24" s="368"/>
      <c r="BG24" s="369"/>
    </row>
    <row r="25" spans="1:59">
      <c r="A25" s="367" t="s">
        <v>188</v>
      </c>
      <c r="B25" s="385">
        <v>3.7</v>
      </c>
      <c r="C25" s="373">
        <v>2</v>
      </c>
      <c r="D25" s="374">
        <v>2</v>
      </c>
      <c r="E25" s="374">
        <v>-1</v>
      </c>
      <c r="F25" s="375">
        <f>SUM(C25:E25)</f>
        <v>3</v>
      </c>
      <c r="H25" s="385">
        <v>2.2999999999999998</v>
      </c>
      <c r="I25" s="373">
        <v>1</v>
      </c>
      <c r="J25" s="374">
        <v>2</v>
      </c>
      <c r="K25" s="374"/>
      <c r="L25" s="375">
        <f>+I25+J25-K25</f>
        <v>3</v>
      </c>
      <c r="O25" s="402"/>
      <c r="P25" s="367" t="s">
        <v>188</v>
      </c>
      <c r="Q25" s="385">
        <f>+Q5</f>
        <v>3.8480000000000003</v>
      </c>
      <c r="R25" s="373">
        <f>+F25</f>
        <v>3</v>
      </c>
      <c r="S25" s="374">
        <v>5</v>
      </c>
      <c r="T25" s="374">
        <v>-1</v>
      </c>
      <c r="U25" s="375">
        <f>SUM(R25:T25)</f>
        <v>7</v>
      </c>
      <c r="W25" s="385">
        <f>+W5</f>
        <v>2.5299999999999998</v>
      </c>
      <c r="X25" s="373">
        <f>+L25</f>
        <v>3</v>
      </c>
      <c r="Y25" s="374">
        <v>3</v>
      </c>
      <c r="Z25" s="374"/>
      <c r="AA25" s="375">
        <f>+X25+Y25-Z25</f>
        <v>6</v>
      </c>
      <c r="AC25" s="292"/>
      <c r="AE25" s="367" t="s">
        <v>188</v>
      </c>
      <c r="AF25" s="385">
        <f>+AF5</f>
        <v>4.0404000000000009</v>
      </c>
      <c r="AG25" s="373">
        <f>+U25</f>
        <v>7</v>
      </c>
      <c r="AH25" s="374">
        <v>6</v>
      </c>
      <c r="AI25" s="374">
        <v>-1</v>
      </c>
      <c r="AJ25" s="375">
        <f>SUM(AG25:AI25)</f>
        <v>12</v>
      </c>
      <c r="AL25" s="385">
        <f>+AL5</f>
        <v>2.7829999999999999</v>
      </c>
      <c r="AM25" s="373">
        <f>+AA25</f>
        <v>6</v>
      </c>
      <c r="AN25" s="374">
        <v>6</v>
      </c>
      <c r="AO25" s="374"/>
      <c r="AP25" s="375">
        <f>+AM25+AN25-AO25</f>
        <v>12</v>
      </c>
      <c r="AR25" s="292"/>
      <c r="AT25" s="367" t="s">
        <v>188</v>
      </c>
      <c r="AU25" s="385">
        <f>+AU5</f>
        <v>4.4444400000000011</v>
      </c>
      <c r="AV25" s="373">
        <f>+AJ25</f>
        <v>12</v>
      </c>
      <c r="AW25" s="374">
        <v>8</v>
      </c>
      <c r="AX25" s="374">
        <v>-1</v>
      </c>
      <c r="AY25" s="375">
        <f>SUM(AV25:AX25)</f>
        <v>19</v>
      </c>
      <c r="BA25" s="385">
        <f>+BA5</f>
        <v>3.2004499999999996</v>
      </c>
      <c r="BB25" s="373">
        <f>+AP25</f>
        <v>12</v>
      </c>
      <c r="BC25" s="374">
        <v>6</v>
      </c>
      <c r="BD25" s="374"/>
      <c r="BE25" s="375">
        <f>+BB25+BC25-BD25</f>
        <v>18</v>
      </c>
      <c r="BG25" s="292"/>
    </row>
    <row r="26" spans="1:59">
      <c r="A26" s="367" t="s">
        <v>232</v>
      </c>
      <c r="B26" s="386">
        <v>44.1</v>
      </c>
      <c r="C26" s="376"/>
      <c r="D26" s="377">
        <v>1</v>
      </c>
      <c r="E26" s="377"/>
      <c r="F26" s="378">
        <f>SUM(C26:E26)</f>
        <v>1</v>
      </c>
      <c r="H26" s="386">
        <v>27.6</v>
      </c>
      <c r="I26" s="376"/>
      <c r="J26" s="377">
        <v>2</v>
      </c>
      <c r="K26" s="377"/>
      <c r="L26" s="378">
        <f>+I26+J26-K26</f>
        <v>2</v>
      </c>
      <c r="O26" s="402"/>
      <c r="P26" s="367" t="s">
        <v>232</v>
      </c>
      <c r="Q26" s="386">
        <f>+Q6</f>
        <v>45.864000000000004</v>
      </c>
      <c r="R26" s="376">
        <f>+F26</f>
        <v>1</v>
      </c>
      <c r="S26" s="377">
        <v>5</v>
      </c>
      <c r="T26" s="377"/>
      <c r="U26" s="378">
        <f>SUM(R26:T26)</f>
        <v>6</v>
      </c>
      <c r="W26" s="386">
        <f>+W6</f>
        <v>30.360000000000003</v>
      </c>
      <c r="X26" s="376">
        <f>+L26</f>
        <v>2</v>
      </c>
      <c r="Y26" s="377">
        <v>5</v>
      </c>
      <c r="Z26" s="377"/>
      <c r="AA26" s="378">
        <f>+X26+Y26-Z26</f>
        <v>7</v>
      </c>
      <c r="AC26" s="292"/>
      <c r="AE26" s="367" t="s">
        <v>232</v>
      </c>
      <c r="AF26" s="386">
        <f>+AF6</f>
        <v>48.157200000000003</v>
      </c>
      <c r="AG26" s="376">
        <f>+U26</f>
        <v>6</v>
      </c>
      <c r="AH26" s="377">
        <v>2</v>
      </c>
      <c r="AI26" s="377"/>
      <c r="AJ26" s="378">
        <f>SUM(AG26:AI26)</f>
        <v>8</v>
      </c>
      <c r="AL26" s="386">
        <f>+AL6</f>
        <v>33.396000000000008</v>
      </c>
      <c r="AM26" s="376">
        <f>+AA26</f>
        <v>7</v>
      </c>
      <c r="AN26" s="377">
        <v>6</v>
      </c>
      <c r="AO26" s="377"/>
      <c r="AP26" s="378">
        <f>+AM26+AN26-AO26</f>
        <v>13</v>
      </c>
      <c r="AR26" s="292"/>
      <c r="AT26" s="367" t="s">
        <v>232</v>
      </c>
      <c r="AU26" s="386">
        <f>+AU6</f>
        <v>52.972920000000009</v>
      </c>
      <c r="AV26" s="376">
        <f>+AJ26</f>
        <v>8</v>
      </c>
      <c r="AW26" s="377">
        <v>4</v>
      </c>
      <c r="AX26" s="377"/>
      <c r="AY26" s="378">
        <f>SUM(AV26:AX26)</f>
        <v>12</v>
      </c>
      <c r="BA26" s="386">
        <f>+BA6</f>
        <v>38.405400000000007</v>
      </c>
      <c r="BB26" s="376">
        <f>+AP26</f>
        <v>13</v>
      </c>
      <c r="BC26" s="377">
        <v>6</v>
      </c>
      <c r="BD26" s="377"/>
      <c r="BE26" s="378">
        <f>+BB26+BC26-BD26</f>
        <v>19</v>
      </c>
      <c r="BG26" s="292"/>
    </row>
    <row r="27" spans="1:59">
      <c r="A27" s="367" t="s">
        <v>189</v>
      </c>
      <c r="B27" s="386">
        <v>219.7</v>
      </c>
      <c r="C27" s="376"/>
      <c r="D27" s="377"/>
      <c r="E27" s="377"/>
      <c r="F27" s="378">
        <f>SUM(C27:E27)</f>
        <v>0</v>
      </c>
      <c r="H27" s="386">
        <v>198.7</v>
      </c>
      <c r="I27" s="376"/>
      <c r="J27" s="377">
        <v>1</v>
      </c>
      <c r="K27" s="377"/>
      <c r="L27" s="378">
        <f>+I27+J27-K27</f>
        <v>1</v>
      </c>
      <c r="O27" s="402"/>
      <c r="P27" s="367" t="s">
        <v>189</v>
      </c>
      <c r="Q27" s="386">
        <f>+Q7</f>
        <v>228.488</v>
      </c>
      <c r="R27" s="376">
        <f>+F27</f>
        <v>0</v>
      </c>
      <c r="S27" s="377">
        <v>0</v>
      </c>
      <c r="T27" s="377"/>
      <c r="U27" s="378">
        <f>SUM(R27:T27)</f>
        <v>0</v>
      </c>
      <c r="W27" s="386">
        <f>+W7</f>
        <v>218.57</v>
      </c>
      <c r="X27" s="376">
        <f>+L27</f>
        <v>1</v>
      </c>
      <c r="Y27" s="377">
        <v>2</v>
      </c>
      <c r="Z27" s="377"/>
      <c r="AA27" s="378">
        <f>+X27+Y27-Z27</f>
        <v>3</v>
      </c>
      <c r="AC27" s="292"/>
      <c r="AE27" s="367" t="s">
        <v>189</v>
      </c>
      <c r="AF27" s="386">
        <f>+AF7</f>
        <v>239.91240000000002</v>
      </c>
      <c r="AG27" s="376">
        <f>+U27</f>
        <v>0</v>
      </c>
      <c r="AH27" s="377">
        <v>1</v>
      </c>
      <c r="AI27" s="377"/>
      <c r="AJ27" s="378">
        <f>SUM(AG27:AI27)</f>
        <v>1</v>
      </c>
      <c r="AL27" s="386">
        <f>+AL7</f>
        <v>240.42700000000002</v>
      </c>
      <c r="AM27" s="376">
        <f>+AA27</f>
        <v>3</v>
      </c>
      <c r="AN27" s="377">
        <v>2</v>
      </c>
      <c r="AO27" s="377"/>
      <c r="AP27" s="378">
        <f>+AM27+AN27-AO27</f>
        <v>5</v>
      </c>
      <c r="AR27" s="292"/>
      <c r="AT27" s="367" t="s">
        <v>189</v>
      </c>
      <c r="AU27" s="386">
        <f>+AU7</f>
        <v>263.90364000000005</v>
      </c>
      <c r="AV27" s="376">
        <f>+AJ27</f>
        <v>1</v>
      </c>
      <c r="AW27" s="377">
        <v>2</v>
      </c>
      <c r="AX27" s="377"/>
      <c r="AY27" s="378">
        <f>SUM(AV27:AX27)</f>
        <v>3</v>
      </c>
      <c r="BA27" s="386">
        <f>+BA7</f>
        <v>276.49105000000003</v>
      </c>
      <c r="BB27" s="376">
        <f>+AP27</f>
        <v>5</v>
      </c>
      <c r="BC27" s="377">
        <v>2</v>
      </c>
      <c r="BD27" s="377"/>
      <c r="BE27" s="378">
        <f>+BB27+BC27-BD27</f>
        <v>7</v>
      </c>
      <c r="BG27" s="292"/>
    </row>
    <row r="28" spans="1:59" ht="15.75" thickBot="1">
      <c r="A28" s="367" t="s">
        <v>233</v>
      </c>
      <c r="B28" s="387">
        <v>1085</v>
      </c>
      <c r="C28" s="379"/>
      <c r="D28" s="380"/>
      <c r="E28" s="380"/>
      <c r="F28" s="381">
        <f>SUM(C28:E28)</f>
        <v>0</v>
      </c>
      <c r="H28" s="387">
        <v>880</v>
      </c>
      <c r="I28" s="379"/>
      <c r="J28" s="380">
        <v>0</v>
      </c>
      <c r="K28" s="380"/>
      <c r="L28" s="381">
        <f>+I28+J28-K28</f>
        <v>0</v>
      </c>
      <c r="O28" s="402"/>
      <c r="P28" s="367" t="s">
        <v>233</v>
      </c>
      <c r="Q28" s="387">
        <f>+Q8</f>
        <v>1128.4000000000001</v>
      </c>
      <c r="R28" s="379">
        <f>+F28</f>
        <v>0</v>
      </c>
      <c r="S28" s="380"/>
      <c r="T28" s="380"/>
      <c r="U28" s="381">
        <f>SUM(R28:T28)</f>
        <v>0</v>
      </c>
      <c r="W28" s="387">
        <f>+W8</f>
        <v>968.00000000000011</v>
      </c>
      <c r="X28" s="379">
        <f>+L28</f>
        <v>0</v>
      </c>
      <c r="Y28" s="380">
        <v>0</v>
      </c>
      <c r="Z28" s="380"/>
      <c r="AA28" s="381">
        <f>+X28+Y28-Z28</f>
        <v>0</v>
      </c>
      <c r="AC28" s="292"/>
      <c r="AE28" s="367" t="s">
        <v>233</v>
      </c>
      <c r="AF28" s="387">
        <f>+AF8</f>
        <v>1184.8200000000002</v>
      </c>
      <c r="AG28" s="379">
        <f>+U28</f>
        <v>0</v>
      </c>
      <c r="AH28" s="380"/>
      <c r="AI28" s="380"/>
      <c r="AJ28" s="381">
        <f>SUM(AG28:AI28)</f>
        <v>0</v>
      </c>
      <c r="AL28" s="387">
        <f>+AL8</f>
        <v>1064.8000000000002</v>
      </c>
      <c r="AM28" s="379">
        <f>+AA28</f>
        <v>0</v>
      </c>
      <c r="AN28" s="380">
        <v>1</v>
      </c>
      <c r="AO28" s="380"/>
      <c r="AP28" s="381">
        <f>+AM28+AN28-AO28</f>
        <v>1</v>
      </c>
      <c r="AR28" s="292"/>
      <c r="AT28" s="367" t="s">
        <v>233</v>
      </c>
      <c r="AU28" s="387">
        <f>+AU8</f>
        <v>1303.3020000000004</v>
      </c>
      <c r="AV28" s="379">
        <f>+AJ28</f>
        <v>0</v>
      </c>
      <c r="AW28" s="380"/>
      <c r="AX28" s="380"/>
      <c r="AY28" s="381">
        <f>SUM(AV28:AX28)</f>
        <v>0</v>
      </c>
      <c r="BA28" s="387">
        <f>+BA8</f>
        <v>1224.5200000000002</v>
      </c>
      <c r="BB28" s="379">
        <f>+AP28</f>
        <v>1</v>
      </c>
      <c r="BC28" s="380">
        <v>1</v>
      </c>
      <c r="BD28" s="380"/>
      <c r="BE28" s="381">
        <f>+BB28+BC28-BD28</f>
        <v>2</v>
      </c>
      <c r="BG28" s="292"/>
    </row>
    <row r="29" spans="1:59" ht="15.75" thickBot="1">
      <c r="A29" s="367" t="s">
        <v>23</v>
      </c>
      <c r="B29" s="387">
        <f>SUM(B25:B28)</f>
        <v>1352.5</v>
      </c>
      <c r="C29" s="379">
        <f>SUM(C25:C28)</f>
        <v>2</v>
      </c>
      <c r="D29" s="380">
        <f>SUM(D25:D28)</f>
        <v>3</v>
      </c>
      <c r="E29" s="380">
        <f>SUM(E25:E28)</f>
        <v>-1</v>
      </c>
      <c r="F29" s="381">
        <f>SUM(F25:F28)</f>
        <v>4</v>
      </c>
      <c r="H29" s="387">
        <f>SUM(H25:H28)</f>
        <v>1108.5999999999999</v>
      </c>
      <c r="I29" s="379">
        <f>SUM(I25:I28)</f>
        <v>1</v>
      </c>
      <c r="J29" s="380">
        <f>SUM(J25:J28)</f>
        <v>5</v>
      </c>
      <c r="K29" s="380">
        <f>SUM(K25:K28)</f>
        <v>0</v>
      </c>
      <c r="L29" s="381">
        <f>SUM(L25:L28)</f>
        <v>6</v>
      </c>
      <c r="O29" s="402"/>
      <c r="P29" s="367" t="s">
        <v>23</v>
      </c>
      <c r="Q29" s="387">
        <f>SUM(Q25:Q28)</f>
        <v>1406.6000000000001</v>
      </c>
      <c r="R29" s="379">
        <f>SUM(R25:R28)</f>
        <v>4</v>
      </c>
      <c r="S29" s="380">
        <f>SUM(S25:S28)</f>
        <v>10</v>
      </c>
      <c r="T29" s="380">
        <f>SUM(T25:T28)</f>
        <v>-1</v>
      </c>
      <c r="U29" s="381">
        <f>SUM(U25:U28)</f>
        <v>13</v>
      </c>
      <c r="W29" s="387">
        <f>SUM(W25:W28)</f>
        <v>1219.46</v>
      </c>
      <c r="X29" s="379">
        <f>SUM(X25:X28)</f>
        <v>6</v>
      </c>
      <c r="Y29" s="380">
        <f>SUM(Y25:Y28)</f>
        <v>10</v>
      </c>
      <c r="Z29" s="380">
        <f>SUM(Z25:Z28)</f>
        <v>0</v>
      </c>
      <c r="AA29" s="381">
        <f>SUM(AA25:AA28)</f>
        <v>16</v>
      </c>
      <c r="AC29" s="292"/>
      <c r="AE29" s="367" t="s">
        <v>23</v>
      </c>
      <c r="AF29" s="387">
        <f>SUM(AF25:AF28)</f>
        <v>1476.9300000000003</v>
      </c>
      <c r="AG29" s="379">
        <f>SUM(AG25:AG28)</f>
        <v>13</v>
      </c>
      <c r="AH29" s="380">
        <f>SUM(AH25:AH28)</f>
        <v>9</v>
      </c>
      <c r="AI29" s="380">
        <f>SUM(AI25:AI28)</f>
        <v>-1</v>
      </c>
      <c r="AJ29" s="381">
        <f>SUM(AJ25:AJ28)</f>
        <v>21</v>
      </c>
      <c r="AL29" s="387">
        <f>SUM(AL25:AL28)</f>
        <v>1341.4060000000002</v>
      </c>
      <c r="AM29" s="379">
        <f>SUM(AM25:AM28)</f>
        <v>16</v>
      </c>
      <c r="AN29" s="380">
        <f>SUM(AN25:AN28)</f>
        <v>15</v>
      </c>
      <c r="AO29" s="380">
        <f>SUM(AO25:AO28)</f>
        <v>0</v>
      </c>
      <c r="AP29" s="381">
        <f>SUM(AP25:AP28)</f>
        <v>31</v>
      </c>
      <c r="AR29" s="292"/>
      <c r="AT29" s="367" t="s">
        <v>23</v>
      </c>
      <c r="AU29" s="387">
        <f>SUM(AU25:AU28)</f>
        <v>1624.6230000000005</v>
      </c>
      <c r="AV29" s="379">
        <f>SUM(AV25:AV28)</f>
        <v>21</v>
      </c>
      <c r="AW29" s="380">
        <f>SUM(AW25:AW28)</f>
        <v>14</v>
      </c>
      <c r="AX29" s="380">
        <f>SUM(AX25:AX28)</f>
        <v>-1</v>
      </c>
      <c r="AY29" s="381">
        <f>SUM(AY25:AY28)</f>
        <v>34</v>
      </c>
      <c r="BA29" s="387">
        <f>SUM(BA25:BA28)</f>
        <v>1542.6169000000002</v>
      </c>
      <c r="BB29" s="379">
        <f>SUM(BB25:BB28)</f>
        <v>31</v>
      </c>
      <c r="BC29" s="380">
        <f>SUM(BC25:BC28)</f>
        <v>15</v>
      </c>
      <c r="BD29" s="380">
        <f>SUM(BD25:BD28)</f>
        <v>0</v>
      </c>
      <c r="BE29" s="381">
        <f>SUM(BE25:BE28)</f>
        <v>46</v>
      </c>
      <c r="BG29" s="292"/>
    </row>
    <row r="30" spans="1:59">
      <c r="O30" s="402"/>
      <c r="P30" s="287"/>
      <c r="Q30" s="287"/>
      <c r="AC30" s="292"/>
      <c r="AR30" s="292"/>
      <c r="BG30" s="292"/>
    </row>
    <row r="31" spans="1:59" ht="15.75" thickBot="1">
      <c r="O31" s="402"/>
      <c r="P31" s="287"/>
      <c r="Q31" s="287"/>
      <c r="AC31" s="292"/>
      <c r="AR31" s="292"/>
      <c r="BG31" s="292"/>
    </row>
    <row r="32" spans="1:59" ht="15.75" thickBot="1">
      <c r="C32" s="871" t="s">
        <v>240</v>
      </c>
      <c r="D32" s="872"/>
      <c r="E32" s="872"/>
      <c r="F32" s="873"/>
      <c r="I32" s="868" t="s">
        <v>238</v>
      </c>
      <c r="J32" s="869"/>
      <c r="K32" s="869"/>
      <c r="L32" s="870"/>
      <c r="N32" s="400" t="s">
        <v>242</v>
      </c>
      <c r="O32" s="402"/>
      <c r="P32" s="287"/>
      <c r="Q32" s="287"/>
      <c r="R32" s="871" t="s">
        <v>240</v>
      </c>
      <c r="S32" s="872"/>
      <c r="T32" s="872"/>
      <c r="U32" s="873"/>
      <c r="X32" s="868" t="s">
        <v>238</v>
      </c>
      <c r="Y32" s="869"/>
      <c r="Z32" s="869"/>
      <c r="AA32" s="870"/>
      <c r="AC32" s="400" t="s">
        <v>242</v>
      </c>
      <c r="AG32" s="871" t="s">
        <v>240</v>
      </c>
      <c r="AH32" s="872"/>
      <c r="AI32" s="872"/>
      <c r="AJ32" s="873"/>
      <c r="AM32" s="868" t="s">
        <v>238</v>
      </c>
      <c r="AN32" s="869"/>
      <c r="AO32" s="869"/>
      <c r="AP32" s="870"/>
      <c r="AR32" s="400" t="s">
        <v>242</v>
      </c>
      <c r="AV32" s="871" t="s">
        <v>240</v>
      </c>
      <c r="AW32" s="872"/>
      <c r="AX32" s="872"/>
      <c r="AY32" s="873"/>
      <c r="BB32" s="868" t="s">
        <v>238</v>
      </c>
      <c r="BC32" s="869"/>
      <c r="BD32" s="869"/>
      <c r="BE32" s="870"/>
      <c r="BG32" s="400" t="s">
        <v>242</v>
      </c>
    </row>
    <row r="33" spans="1:59" ht="30.75" thickBot="1">
      <c r="A33" s="403" t="s">
        <v>246</v>
      </c>
      <c r="C33" s="370" t="s">
        <v>234</v>
      </c>
      <c r="D33" s="371" t="s">
        <v>79</v>
      </c>
      <c r="E33" s="371" t="s">
        <v>80</v>
      </c>
      <c r="F33" s="372" t="s">
        <v>168</v>
      </c>
      <c r="I33" s="370" t="s">
        <v>234</v>
      </c>
      <c r="J33" s="371" t="s">
        <v>79</v>
      </c>
      <c r="K33" s="371" t="s">
        <v>80</v>
      </c>
      <c r="L33" s="372" t="s">
        <v>168</v>
      </c>
      <c r="N33" s="423" t="s">
        <v>11</v>
      </c>
      <c r="O33" s="402"/>
      <c r="P33" s="403" t="s">
        <v>246</v>
      </c>
      <c r="Q33" s="287"/>
      <c r="R33" s="370" t="s">
        <v>234</v>
      </c>
      <c r="S33" s="371" t="s">
        <v>79</v>
      </c>
      <c r="T33" s="371" t="s">
        <v>80</v>
      </c>
      <c r="U33" s="372" t="s">
        <v>168</v>
      </c>
      <c r="X33" s="370" t="s">
        <v>234</v>
      </c>
      <c r="Y33" s="371" t="s">
        <v>79</v>
      </c>
      <c r="Z33" s="371" t="s">
        <v>80</v>
      </c>
      <c r="AA33" s="372" t="s">
        <v>168</v>
      </c>
      <c r="AC33" s="423" t="s">
        <v>12</v>
      </c>
      <c r="AE33" s="403" t="s">
        <v>246</v>
      </c>
      <c r="AG33" s="370" t="s">
        <v>234</v>
      </c>
      <c r="AH33" s="371" t="s">
        <v>79</v>
      </c>
      <c r="AI33" s="371" t="s">
        <v>80</v>
      </c>
      <c r="AJ33" s="372" t="s">
        <v>168</v>
      </c>
      <c r="AM33" s="370" t="s">
        <v>234</v>
      </c>
      <c r="AN33" s="371" t="s">
        <v>79</v>
      </c>
      <c r="AO33" s="371" t="s">
        <v>80</v>
      </c>
      <c r="AP33" s="372" t="s">
        <v>168</v>
      </c>
      <c r="AR33" s="423" t="s">
        <v>13</v>
      </c>
      <c r="AT33" s="403" t="s">
        <v>246</v>
      </c>
      <c r="AV33" s="370" t="s">
        <v>234</v>
      </c>
      <c r="AW33" s="371" t="s">
        <v>79</v>
      </c>
      <c r="AX33" s="371" t="s">
        <v>80</v>
      </c>
      <c r="AY33" s="372" t="s">
        <v>168</v>
      </c>
      <c r="BB33" s="370" t="s">
        <v>234</v>
      </c>
      <c r="BC33" s="371" t="s">
        <v>79</v>
      </c>
      <c r="BD33" s="371" t="s">
        <v>80</v>
      </c>
      <c r="BE33" s="372" t="s">
        <v>168</v>
      </c>
      <c r="BG33" s="423" t="s">
        <v>14</v>
      </c>
    </row>
    <row r="34" spans="1:59">
      <c r="A34" s="367" t="s">
        <v>188</v>
      </c>
      <c r="C34" s="388">
        <f>+B25*C25</f>
        <v>7.4</v>
      </c>
      <c r="D34" s="389">
        <v>2</v>
      </c>
      <c r="E34" s="389">
        <f>+C25*E25</f>
        <v>-2</v>
      </c>
      <c r="F34" s="390">
        <f>+C34+D34-E34</f>
        <v>11.4</v>
      </c>
      <c r="G34" s="292"/>
      <c r="H34" s="292"/>
      <c r="I34" s="388">
        <f>+H25*I25</f>
        <v>2.2999999999999998</v>
      </c>
      <c r="J34" s="389">
        <f t="shared" ref="J34:K37" si="9">+H25*J25</f>
        <v>4.5999999999999996</v>
      </c>
      <c r="K34" s="389">
        <f t="shared" si="9"/>
        <v>0</v>
      </c>
      <c r="L34" s="390">
        <f>+I34+J34-K34</f>
        <v>6.8999999999999995</v>
      </c>
      <c r="N34" s="398">
        <f>(L34+F34)</f>
        <v>18.3</v>
      </c>
      <c r="O34" s="402"/>
      <c r="P34" s="367" t="s">
        <v>188</v>
      </c>
      <c r="Q34" s="287"/>
      <c r="R34" s="388">
        <f>+Q25*R25</f>
        <v>11.544</v>
      </c>
      <c r="S34" s="389">
        <f t="shared" ref="S34:T37" si="10">+Q25*S25</f>
        <v>19.240000000000002</v>
      </c>
      <c r="T34" s="389">
        <f t="shared" si="10"/>
        <v>-3</v>
      </c>
      <c r="U34" s="390">
        <f>+R34+S34-T34</f>
        <v>33.784000000000006</v>
      </c>
      <c r="V34" s="292"/>
      <c r="W34" s="292"/>
      <c r="X34" s="388">
        <f>+W25*X25</f>
        <v>7.59</v>
      </c>
      <c r="Y34" s="389">
        <f t="shared" ref="Y34:Z37" si="11">+W25*Y25</f>
        <v>7.59</v>
      </c>
      <c r="Z34" s="389">
        <f t="shared" si="11"/>
        <v>0</v>
      </c>
      <c r="AA34" s="390">
        <f>+X34+Y34-Z34</f>
        <v>15.18</v>
      </c>
      <c r="AC34" s="398">
        <f>(AA34+U34)</f>
        <v>48.964000000000006</v>
      </c>
      <c r="AE34" s="367" t="s">
        <v>188</v>
      </c>
      <c r="AG34" s="388">
        <f>+AF25*AG25</f>
        <v>28.282800000000005</v>
      </c>
      <c r="AH34" s="389">
        <f t="shared" ref="AH34:AI37" si="12">+AF25*AH25</f>
        <v>24.242400000000004</v>
      </c>
      <c r="AI34" s="389">
        <f t="shared" si="12"/>
        <v>-7</v>
      </c>
      <c r="AJ34" s="390">
        <f>+AG34+AH34-AI34</f>
        <v>59.525200000000012</v>
      </c>
      <c r="AK34" s="292"/>
      <c r="AL34" s="292"/>
      <c r="AM34" s="388">
        <f>+AL25*AM25</f>
        <v>16.698</v>
      </c>
      <c r="AN34" s="389">
        <f t="shared" ref="AN34:AO37" si="13">+AL25*AN25</f>
        <v>16.698</v>
      </c>
      <c r="AO34" s="389">
        <f t="shared" si="13"/>
        <v>0</v>
      </c>
      <c r="AP34" s="390">
        <f>+AM34+AN34-AO34</f>
        <v>33.396000000000001</v>
      </c>
      <c r="AR34" s="398">
        <f>(AP34+AJ34)</f>
        <v>92.921200000000013</v>
      </c>
      <c r="AT34" s="367" t="s">
        <v>188</v>
      </c>
      <c r="AV34" s="388">
        <f>+AU25*AV25</f>
        <v>53.333280000000016</v>
      </c>
      <c r="AW34" s="389">
        <f t="shared" ref="AW34:AX37" si="14">+AU25*AW25</f>
        <v>35.555520000000008</v>
      </c>
      <c r="AX34" s="389">
        <f t="shared" si="14"/>
        <v>-12</v>
      </c>
      <c r="AY34" s="390">
        <f>+AV34+AW34-AX34</f>
        <v>100.88880000000003</v>
      </c>
      <c r="AZ34" s="292"/>
      <c r="BA34" s="292"/>
      <c r="BB34" s="388">
        <f>+BA25*BB25</f>
        <v>38.405399999999993</v>
      </c>
      <c r="BC34" s="389">
        <f t="shared" ref="BC34:BD37" si="15">+BA25*BC25</f>
        <v>19.202699999999997</v>
      </c>
      <c r="BD34" s="389">
        <f t="shared" si="15"/>
        <v>0</v>
      </c>
      <c r="BE34" s="390">
        <f>+BB34+BC34-BD34</f>
        <v>57.608099999999993</v>
      </c>
      <c r="BG34" s="398">
        <f>(BE34+AY34)</f>
        <v>158.49690000000004</v>
      </c>
    </row>
    <row r="35" spans="1:59">
      <c r="A35" s="367" t="s">
        <v>232</v>
      </c>
      <c r="C35" s="391">
        <f>+B26*C26</f>
        <v>0</v>
      </c>
      <c r="D35" s="392">
        <v>2</v>
      </c>
      <c r="E35" s="392">
        <f>+C26*E26</f>
        <v>0</v>
      </c>
      <c r="F35" s="393">
        <f>+C35+D35-E35</f>
        <v>2</v>
      </c>
      <c r="G35" s="292"/>
      <c r="H35" s="292"/>
      <c r="I35" s="391">
        <f>+H26*I26</f>
        <v>0</v>
      </c>
      <c r="J35" s="392">
        <f t="shared" si="9"/>
        <v>55.2</v>
      </c>
      <c r="K35" s="392">
        <f t="shared" si="9"/>
        <v>0</v>
      </c>
      <c r="L35" s="393">
        <f>+I35+J35-K35</f>
        <v>55.2</v>
      </c>
      <c r="N35" s="399">
        <f>(L35+F35)</f>
        <v>57.2</v>
      </c>
      <c r="O35" s="402"/>
      <c r="P35" s="367" t="s">
        <v>232</v>
      </c>
      <c r="Q35" s="287"/>
      <c r="R35" s="391">
        <f>+Q26*R26</f>
        <v>45.864000000000004</v>
      </c>
      <c r="S35" s="392">
        <f t="shared" si="10"/>
        <v>229.32000000000002</v>
      </c>
      <c r="T35" s="392">
        <f t="shared" si="10"/>
        <v>0</v>
      </c>
      <c r="U35" s="393">
        <f>+R35+S35-T35</f>
        <v>275.18400000000003</v>
      </c>
      <c r="V35" s="292"/>
      <c r="W35" s="292"/>
      <c r="X35" s="391">
        <f>+W26*X26</f>
        <v>60.720000000000006</v>
      </c>
      <c r="Y35" s="392">
        <f t="shared" si="11"/>
        <v>151.80000000000001</v>
      </c>
      <c r="Z35" s="392">
        <f t="shared" si="11"/>
        <v>0</v>
      </c>
      <c r="AA35" s="393">
        <f>+X35+Y35-Z35</f>
        <v>212.52</v>
      </c>
      <c r="AC35" s="399">
        <f>(AA35+U35)</f>
        <v>487.70400000000006</v>
      </c>
      <c r="AE35" s="367" t="s">
        <v>232</v>
      </c>
      <c r="AG35" s="391">
        <f>+AF26*AG26</f>
        <v>288.94320000000005</v>
      </c>
      <c r="AH35" s="392">
        <f t="shared" si="12"/>
        <v>96.314400000000006</v>
      </c>
      <c r="AI35" s="392">
        <f t="shared" si="12"/>
        <v>0</v>
      </c>
      <c r="AJ35" s="393">
        <f>+AG35+AH35-AI35</f>
        <v>385.25760000000002</v>
      </c>
      <c r="AK35" s="292"/>
      <c r="AL35" s="292"/>
      <c r="AM35" s="391">
        <f>+AL26*AM26</f>
        <v>233.77200000000005</v>
      </c>
      <c r="AN35" s="392">
        <f t="shared" si="13"/>
        <v>200.37600000000003</v>
      </c>
      <c r="AO35" s="392">
        <f t="shared" si="13"/>
        <v>0</v>
      </c>
      <c r="AP35" s="393">
        <f>+AM35+AN35-AO35</f>
        <v>434.14800000000008</v>
      </c>
      <c r="AR35" s="399">
        <f>(AP35+AJ35)</f>
        <v>819.40560000000005</v>
      </c>
      <c r="AT35" s="367" t="s">
        <v>232</v>
      </c>
      <c r="AV35" s="391">
        <f>+AU26*AV26</f>
        <v>423.78336000000007</v>
      </c>
      <c r="AW35" s="392">
        <f t="shared" si="14"/>
        <v>211.89168000000004</v>
      </c>
      <c r="AX35" s="392">
        <f t="shared" si="14"/>
        <v>0</v>
      </c>
      <c r="AY35" s="393">
        <f>+AV35+AW35-AX35</f>
        <v>635.67504000000008</v>
      </c>
      <c r="AZ35" s="292"/>
      <c r="BA35" s="292"/>
      <c r="BB35" s="391">
        <f>+BA26*BB26</f>
        <v>499.2702000000001</v>
      </c>
      <c r="BC35" s="392">
        <f t="shared" si="15"/>
        <v>230.43240000000003</v>
      </c>
      <c r="BD35" s="392">
        <f t="shared" si="15"/>
        <v>0</v>
      </c>
      <c r="BE35" s="393">
        <f>+BB35+BC35-BD35</f>
        <v>729.70260000000007</v>
      </c>
      <c r="BG35" s="399">
        <f>(BE35+AY35)</f>
        <v>1365.3776400000002</v>
      </c>
    </row>
    <row r="36" spans="1:59">
      <c r="A36" s="367" t="s">
        <v>189</v>
      </c>
      <c r="C36" s="391">
        <f>+B27*C27</f>
        <v>0</v>
      </c>
      <c r="D36" s="392">
        <f>+B27*D27</f>
        <v>0</v>
      </c>
      <c r="E36" s="392">
        <f>+C27*E27</f>
        <v>0</v>
      </c>
      <c r="F36" s="393">
        <f>+C36+D36-E36</f>
        <v>0</v>
      </c>
      <c r="G36" s="292"/>
      <c r="H36" s="292"/>
      <c r="I36" s="391">
        <f>+H27*I27</f>
        <v>0</v>
      </c>
      <c r="J36" s="392">
        <f t="shared" si="9"/>
        <v>198.7</v>
      </c>
      <c r="K36" s="392">
        <f t="shared" si="9"/>
        <v>0</v>
      </c>
      <c r="L36" s="393">
        <f>+I36+J36-K36</f>
        <v>198.7</v>
      </c>
      <c r="N36" s="399">
        <f>(L36+F36)</f>
        <v>198.7</v>
      </c>
      <c r="O36" s="402"/>
      <c r="P36" s="367" t="s">
        <v>189</v>
      </c>
      <c r="Q36" s="287"/>
      <c r="R36" s="391">
        <f>+Q27*R27</f>
        <v>0</v>
      </c>
      <c r="S36" s="392">
        <f t="shared" si="10"/>
        <v>0</v>
      </c>
      <c r="T36" s="392">
        <f t="shared" si="10"/>
        <v>0</v>
      </c>
      <c r="U36" s="393">
        <f>+R36+S36-T36</f>
        <v>0</v>
      </c>
      <c r="V36" s="292"/>
      <c r="W36" s="292"/>
      <c r="X36" s="391">
        <f>+W27*X27</f>
        <v>218.57</v>
      </c>
      <c r="Y36" s="392">
        <f t="shared" si="11"/>
        <v>437.14</v>
      </c>
      <c r="Z36" s="392">
        <f t="shared" si="11"/>
        <v>0</v>
      </c>
      <c r="AA36" s="393">
        <f>+X36+Y36-Z36</f>
        <v>655.71</v>
      </c>
      <c r="AC36" s="399">
        <f>(AA36+U36)</f>
        <v>655.71</v>
      </c>
      <c r="AE36" s="367" t="s">
        <v>189</v>
      </c>
      <c r="AG36" s="391">
        <f>+AF27*AG27</f>
        <v>0</v>
      </c>
      <c r="AH36" s="392">
        <f t="shared" si="12"/>
        <v>239.91240000000002</v>
      </c>
      <c r="AI36" s="392">
        <f t="shared" si="12"/>
        <v>0</v>
      </c>
      <c r="AJ36" s="393">
        <f>+AG36+AH36-AI36</f>
        <v>239.91240000000002</v>
      </c>
      <c r="AK36" s="292"/>
      <c r="AL36" s="292"/>
      <c r="AM36" s="391">
        <f>+AL27*AM27</f>
        <v>721.28100000000006</v>
      </c>
      <c r="AN36" s="392">
        <f t="shared" si="13"/>
        <v>480.85400000000004</v>
      </c>
      <c r="AO36" s="392">
        <f t="shared" si="13"/>
        <v>0</v>
      </c>
      <c r="AP36" s="393">
        <f>+AM36+AN36-AO36</f>
        <v>1202.1350000000002</v>
      </c>
      <c r="AR36" s="399">
        <f>(AP36+AJ36)</f>
        <v>1442.0474000000002</v>
      </c>
      <c r="AT36" s="367" t="s">
        <v>189</v>
      </c>
      <c r="AV36" s="391">
        <f>+AU27*AV27</f>
        <v>263.90364000000005</v>
      </c>
      <c r="AW36" s="392">
        <f t="shared" si="14"/>
        <v>527.80728000000011</v>
      </c>
      <c r="AX36" s="392">
        <f t="shared" si="14"/>
        <v>0</v>
      </c>
      <c r="AY36" s="393">
        <f>+AV36+AW36-AX36</f>
        <v>791.71092000000021</v>
      </c>
      <c r="AZ36" s="292"/>
      <c r="BA36" s="292"/>
      <c r="BB36" s="391">
        <f>+BA27*BB27</f>
        <v>1382.4552500000002</v>
      </c>
      <c r="BC36" s="392">
        <f t="shared" si="15"/>
        <v>552.98210000000006</v>
      </c>
      <c r="BD36" s="392">
        <f t="shared" si="15"/>
        <v>0</v>
      </c>
      <c r="BE36" s="393">
        <f>+BB36+BC36-BD36</f>
        <v>1935.4373500000002</v>
      </c>
      <c r="BG36" s="399">
        <f>(BE36+AY36)</f>
        <v>2727.1482700000006</v>
      </c>
    </row>
    <row r="37" spans="1:59" ht="15.75" thickBot="1">
      <c r="A37" s="367" t="s">
        <v>233</v>
      </c>
      <c r="C37" s="394">
        <f>+B28*C28</f>
        <v>0</v>
      </c>
      <c r="D37" s="395">
        <f>+B28*D28</f>
        <v>0</v>
      </c>
      <c r="E37" s="395">
        <f>+C28*E28</f>
        <v>0</v>
      </c>
      <c r="F37" s="396">
        <f>+C37+D37-E37</f>
        <v>0</v>
      </c>
      <c r="G37" s="292"/>
      <c r="H37" s="292"/>
      <c r="I37" s="394">
        <f>+H28*I28</f>
        <v>0</v>
      </c>
      <c r="J37" s="395">
        <f t="shared" si="9"/>
        <v>0</v>
      </c>
      <c r="K37" s="395">
        <f t="shared" si="9"/>
        <v>0</v>
      </c>
      <c r="L37" s="396">
        <f>+I37+J37-K37</f>
        <v>0</v>
      </c>
      <c r="N37" s="399">
        <f>(L37+F37)</f>
        <v>0</v>
      </c>
      <c r="O37" s="402"/>
      <c r="P37" s="367" t="s">
        <v>233</v>
      </c>
      <c r="Q37" s="287"/>
      <c r="R37" s="394">
        <f>+Q28*R28</f>
        <v>0</v>
      </c>
      <c r="S37" s="395">
        <f t="shared" si="10"/>
        <v>0</v>
      </c>
      <c r="T37" s="395">
        <f t="shared" si="10"/>
        <v>0</v>
      </c>
      <c r="U37" s="396">
        <f>+R37+S37-T37</f>
        <v>0</v>
      </c>
      <c r="V37" s="292"/>
      <c r="W37" s="292"/>
      <c r="X37" s="394">
        <f>+W28*X28</f>
        <v>0</v>
      </c>
      <c r="Y37" s="395">
        <f t="shared" si="11"/>
        <v>0</v>
      </c>
      <c r="Z37" s="395">
        <f t="shared" si="11"/>
        <v>0</v>
      </c>
      <c r="AA37" s="396">
        <f>+X37+Y37-Z37</f>
        <v>0</v>
      </c>
      <c r="AC37" s="399">
        <f>(AA37+U37)</f>
        <v>0</v>
      </c>
      <c r="AE37" s="367" t="s">
        <v>233</v>
      </c>
      <c r="AG37" s="394">
        <f>+AF28*AG28</f>
        <v>0</v>
      </c>
      <c r="AH37" s="395">
        <f t="shared" si="12"/>
        <v>0</v>
      </c>
      <c r="AI37" s="395">
        <f t="shared" si="12"/>
        <v>0</v>
      </c>
      <c r="AJ37" s="396">
        <f>+AG37+AH37-AI37</f>
        <v>0</v>
      </c>
      <c r="AK37" s="292"/>
      <c r="AL37" s="292"/>
      <c r="AM37" s="394">
        <f>+AL28*AM28</f>
        <v>0</v>
      </c>
      <c r="AN37" s="395">
        <f t="shared" si="13"/>
        <v>1064.8000000000002</v>
      </c>
      <c r="AO37" s="395">
        <f t="shared" si="13"/>
        <v>0</v>
      </c>
      <c r="AP37" s="396">
        <f>+AM37+AN37-AO37</f>
        <v>1064.8000000000002</v>
      </c>
      <c r="AR37" s="399">
        <f>(AP37+AJ37)</f>
        <v>1064.8000000000002</v>
      </c>
      <c r="AT37" s="367" t="s">
        <v>233</v>
      </c>
      <c r="AV37" s="394">
        <f>+AU28*AV28</f>
        <v>0</v>
      </c>
      <c r="AW37" s="395">
        <f t="shared" si="14"/>
        <v>0</v>
      </c>
      <c r="AX37" s="395">
        <f t="shared" si="14"/>
        <v>0</v>
      </c>
      <c r="AY37" s="396">
        <f>+AV37+AW37-AX37</f>
        <v>0</v>
      </c>
      <c r="AZ37" s="292"/>
      <c r="BA37" s="292"/>
      <c r="BB37" s="394">
        <f>+BA28*BB28</f>
        <v>1224.5200000000002</v>
      </c>
      <c r="BC37" s="395">
        <f t="shared" si="15"/>
        <v>1224.5200000000002</v>
      </c>
      <c r="BD37" s="395">
        <f t="shared" si="15"/>
        <v>0</v>
      </c>
      <c r="BE37" s="396">
        <f>+BB37+BC37-BD37</f>
        <v>2449.0400000000004</v>
      </c>
      <c r="BG37" s="399">
        <f>(BE37+AY37)</f>
        <v>2449.0400000000004</v>
      </c>
    </row>
    <row r="38" spans="1:59" ht="15.75" thickBot="1">
      <c r="A38" s="367" t="s">
        <v>23</v>
      </c>
      <c r="C38" s="394">
        <f>SUM(C34:C37)</f>
        <v>7.4</v>
      </c>
      <c r="D38" s="395">
        <f>SUM(D34:D37)</f>
        <v>4</v>
      </c>
      <c r="E38" s="395">
        <f>SUM(E34:E37)</f>
        <v>-2</v>
      </c>
      <c r="F38" s="396">
        <f>SUM(F34:F37)</f>
        <v>13.4</v>
      </c>
      <c r="G38" s="292"/>
      <c r="H38" s="292"/>
      <c r="I38" s="394">
        <f>SUM(I34:I37)</f>
        <v>2.2999999999999998</v>
      </c>
      <c r="J38" s="395">
        <f>SUM(J34:J37)</f>
        <v>258.5</v>
      </c>
      <c r="K38" s="395">
        <f>SUM(K34:K37)</f>
        <v>0</v>
      </c>
      <c r="L38" s="396">
        <f>SUM(L34:L37)</f>
        <v>260.8</v>
      </c>
      <c r="N38" s="397">
        <f>SUM(N34:N37)</f>
        <v>274.2</v>
      </c>
      <c r="O38" s="402"/>
      <c r="P38" s="367" t="s">
        <v>23</v>
      </c>
      <c r="Q38" s="287"/>
      <c r="R38" s="394">
        <f>SUM(R34:R37)</f>
        <v>57.408000000000001</v>
      </c>
      <c r="S38" s="395">
        <f>SUM(S34:S37)</f>
        <v>248.56000000000003</v>
      </c>
      <c r="T38" s="395">
        <f>SUM(T34:T37)</f>
        <v>-3</v>
      </c>
      <c r="U38" s="396">
        <f>SUM(U34:U37)</f>
        <v>308.96800000000002</v>
      </c>
      <c r="V38" s="292"/>
      <c r="W38" s="292"/>
      <c r="X38" s="394">
        <f>SUM(X34:X37)</f>
        <v>286.88</v>
      </c>
      <c r="Y38" s="395">
        <f>SUM(Y34:Y37)</f>
        <v>596.53</v>
      </c>
      <c r="Z38" s="395">
        <f>SUM(Z34:Z37)</f>
        <v>0</v>
      </c>
      <c r="AA38" s="396">
        <f>SUM(AA34:AA37)</f>
        <v>883.41000000000008</v>
      </c>
      <c r="AC38" s="397">
        <f>SUM(AC34:AC37)</f>
        <v>1192.3780000000002</v>
      </c>
      <c r="AE38" s="367" t="s">
        <v>23</v>
      </c>
      <c r="AG38" s="394">
        <f>SUM(AG34:AG37)</f>
        <v>317.22600000000006</v>
      </c>
      <c r="AH38" s="395">
        <f>SUM(AH34:AH37)</f>
        <v>360.4692</v>
      </c>
      <c r="AI38" s="395">
        <f>SUM(AI34:AI37)</f>
        <v>-7</v>
      </c>
      <c r="AJ38" s="396">
        <f>SUM(AJ34:AJ37)</f>
        <v>684.69520000000011</v>
      </c>
      <c r="AK38" s="292"/>
      <c r="AL38" s="292"/>
      <c r="AM38" s="394">
        <f>SUM(AM34:AM37)</f>
        <v>971.75100000000009</v>
      </c>
      <c r="AN38" s="395">
        <f>SUM(AN34:AN37)</f>
        <v>1762.7280000000003</v>
      </c>
      <c r="AO38" s="395">
        <f>SUM(AO34:AO37)</f>
        <v>0</v>
      </c>
      <c r="AP38" s="396">
        <f>SUM(AP34:AP37)</f>
        <v>2734.4790000000003</v>
      </c>
      <c r="AR38" s="397">
        <f>SUM(AR34:AR37)</f>
        <v>3419.1742000000004</v>
      </c>
      <c r="AT38" s="367" t="s">
        <v>23</v>
      </c>
      <c r="AV38" s="394">
        <f>SUM(AV34:AV37)</f>
        <v>741.02028000000018</v>
      </c>
      <c r="AW38" s="395">
        <f>SUM(AW34:AW37)</f>
        <v>775.25448000000017</v>
      </c>
      <c r="AX38" s="395">
        <f>SUM(AX34:AX37)</f>
        <v>-12</v>
      </c>
      <c r="AY38" s="396">
        <f>SUM(AY34:AY37)</f>
        <v>1528.2747600000002</v>
      </c>
      <c r="AZ38" s="292"/>
      <c r="BA38" s="292"/>
      <c r="BB38" s="394">
        <f>SUM(BB34:BB37)</f>
        <v>3144.6508500000009</v>
      </c>
      <c r="BC38" s="395">
        <f>SUM(BC34:BC37)</f>
        <v>2027.1372000000003</v>
      </c>
      <c r="BD38" s="395">
        <f>SUM(BD34:BD37)</f>
        <v>0</v>
      </c>
      <c r="BE38" s="396">
        <f>SUM(BE34:BE37)</f>
        <v>5171.788050000001</v>
      </c>
      <c r="BG38" s="397">
        <f>SUM(BG34:BG37)</f>
        <v>6700.0628100000013</v>
      </c>
    </row>
    <row r="39" spans="1:59">
      <c r="O39" s="402"/>
      <c r="P39" s="287"/>
      <c r="Q39" s="287"/>
      <c r="AC39" s="292"/>
      <c r="AR39" s="292"/>
      <c r="BG39" s="292"/>
    </row>
    <row r="40" spans="1:59">
      <c r="O40" s="402"/>
      <c r="P40" s="287"/>
      <c r="Q40" s="287"/>
      <c r="AC40" s="292"/>
      <c r="AR40" s="292"/>
      <c r="BG40" s="292"/>
    </row>
    <row r="41" spans="1:59" ht="15.75">
      <c r="A41" s="288"/>
      <c r="B41" s="288"/>
      <c r="C41" s="288"/>
      <c r="D41" s="288"/>
      <c r="E41" s="288"/>
      <c r="F41" s="288"/>
      <c r="G41" s="382"/>
      <c r="H41" s="288"/>
      <c r="I41" s="288"/>
      <c r="J41" s="288"/>
      <c r="K41" s="288"/>
      <c r="L41" s="288"/>
      <c r="M41" s="288"/>
      <c r="N41" s="291"/>
      <c r="O41" s="402"/>
      <c r="P41" s="288"/>
      <c r="Q41" s="288"/>
      <c r="R41" s="288"/>
      <c r="S41" s="288"/>
      <c r="T41" s="288"/>
      <c r="U41" s="288"/>
      <c r="V41" s="382"/>
      <c r="W41" s="288"/>
      <c r="X41" s="288"/>
      <c r="Y41" s="288"/>
      <c r="Z41" s="288"/>
      <c r="AA41" s="288"/>
      <c r="AB41" s="288"/>
      <c r="AC41" s="291"/>
      <c r="AE41" s="288"/>
      <c r="AF41" s="288"/>
      <c r="AG41" s="288"/>
      <c r="AH41" s="288"/>
      <c r="AI41" s="288"/>
      <c r="AJ41" s="288"/>
      <c r="AK41" s="382"/>
      <c r="AL41" s="288"/>
      <c r="AM41" s="288"/>
      <c r="AN41" s="288"/>
      <c r="AO41" s="288"/>
      <c r="AP41" s="288"/>
      <c r="AQ41" s="288"/>
      <c r="AR41" s="291"/>
      <c r="AT41" s="288"/>
      <c r="AU41" s="288"/>
      <c r="AV41" s="288"/>
      <c r="AW41" s="288"/>
      <c r="AX41" s="288"/>
      <c r="AY41" s="288"/>
      <c r="AZ41" s="382"/>
      <c r="BA41" s="288"/>
      <c r="BB41" s="288"/>
      <c r="BC41" s="288"/>
      <c r="BD41" s="288"/>
      <c r="BE41" s="288"/>
      <c r="BF41" s="288"/>
      <c r="BG41" s="291"/>
    </row>
    <row r="42" spans="1:59" ht="15.75" thickBot="1">
      <c r="O42" s="402"/>
      <c r="P42" s="287"/>
      <c r="Q42" s="287"/>
      <c r="AC42" s="292"/>
      <c r="AR42" s="292"/>
      <c r="BG42" s="292"/>
    </row>
    <row r="43" spans="1:59" ht="15.75" thickBot="1">
      <c r="C43" s="871" t="s">
        <v>237</v>
      </c>
      <c r="D43" s="872"/>
      <c r="E43" s="872"/>
      <c r="F43" s="873"/>
      <c r="I43" s="868" t="s">
        <v>238</v>
      </c>
      <c r="J43" s="869"/>
      <c r="K43" s="869"/>
      <c r="L43" s="870"/>
      <c r="O43" s="402"/>
      <c r="P43" s="287"/>
      <c r="Q43" s="287"/>
      <c r="R43" s="871" t="s">
        <v>237</v>
      </c>
      <c r="S43" s="872"/>
      <c r="T43" s="872"/>
      <c r="U43" s="873"/>
      <c r="X43" s="868" t="s">
        <v>238</v>
      </c>
      <c r="Y43" s="869"/>
      <c r="Z43" s="869"/>
      <c r="AA43" s="870"/>
      <c r="AC43" s="292"/>
      <c r="AG43" s="871" t="s">
        <v>237</v>
      </c>
      <c r="AH43" s="872"/>
      <c r="AI43" s="872"/>
      <c r="AJ43" s="873"/>
      <c r="AM43" s="868" t="s">
        <v>238</v>
      </c>
      <c r="AN43" s="869"/>
      <c r="AO43" s="869"/>
      <c r="AP43" s="870"/>
      <c r="AR43" s="292"/>
      <c r="AV43" s="871" t="s">
        <v>237</v>
      </c>
      <c r="AW43" s="872"/>
      <c r="AX43" s="872"/>
      <c r="AY43" s="873"/>
      <c r="BB43" s="868" t="s">
        <v>238</v>
      </c>
      <c r="BC43" s="869"/>
      <c r="BD43" s="869"/>
      <c r="BE43" s="870"/>
      <c r="BG43" s="292"/>
    </row>
    <row r="44" spans="1:59" ht="30.75" thickBot="1">
      <c r="A44" s="383" t="s">
        <v>243</v>
      </c>
      <c r="B44" s="384" t="s">
        <v>239</v>
      </c>
      <c r="C44" s="370" t="s">
        <v>234</v>
      </c>
      <c r="D44" s="371" t="s">
        <v>79</v>
      </c>
      <c r="E44" s="371" t="s">
        <v>80</v>
      </c>
      <c r="F44" s="372" t="s">
        <v>168</v>
      </c>
      <c r="H44" s="384" t="s">
        <v>239</v>
      </c>
      <c r="I44" s="370" t="s">
        <v>234</v>
      </c>
      <c r="J44" s="371" t="s">
        <v>79</v>
      </c>
      <c r="K44" s="371" t="s">
        <v>80</v>
      </c>
      <c r="L44" s="372" t="s">
        <v>168</v>
      </c>
      <c r="M44" s="368"/>
      <c r="N44" s="369"/>
      <c r="O44" s="402"/>
      <c r="P44" s="383" t="s">
        <v>243</v>
      </c>
      <c r="Q44" s="384" t="s">
        <v>239</v>
      </c>
      <c r="R44" s="370" t="s">
        <v>234</v>
      </c>
      <c r="S44" s="371" t="s">
        <v>79</v>
      </c>
      <c r="T44" s="371" t="s">
        <v>80</v>
      </c>
      <c r="U44" s="372" t="s">
        <v>168</v>
      </c>
      <c r="W44" s="384" t="s">
        <v>239</v>
      </c>
      <c r="X44" s="370" t="s">
        <v>234</v>
      </c>
      <c r="Y44" s="371" t="s">
        <v>79</v>
      </c>
      <c r="Z44" s="371" t="s">
        <v>80</v>
      </c>
      <c r="AA44" s="372" t="s">
        <v>168</v>
      </c>
      <c r="AB44" s="368"/>
      <c r="AC44" s="369"/>
      <c r="AE44" s="383" t="s">
        <v>243</v>
      </c>
      <c r="AF44" s="384" t="s">
        <v>239</v>
      </c>
      <c r="AG44" s="370" t="s">
        <v>234</v>
      </c>
      <c r="AH44" s="371" t="s">
        <v>79</v>
      </c>
      <c r="AI44" s="371" t="s">
        <v>80</v>
      </c>
      <c r="AJ44" s="372" t="s">
        <v>168</v>
      </c>
      <c r="AL44" s="384" t="s">
        <v>239</v>
      </c>
      <c r="AM44" s="370" t="s">
        <v>234</v>
      </c>
      <c r="AN44" s="371" t="s">
        <v>79</v>
      </c>
      <c r="AO44" s="371" t="s">
        <v>80</v>
      </c>
      <c r="AP44" s="372" t="s">
        <v>168</v>
      </c>
      <c r="AQ44" s="368"/>
      <c r="AR44" s="369"/>
      <c r="AT44" s="383" t="s">
        <v>243</v>
      </c>
      <c r="AU44" s="384" t="s">
        <v>239</v>
      </c>
      <c r="AV44" s="370" t="s">
        <v>234</v>
      </c>
      <c r="AW44" s="371" t="s">
        <v>79</v>
      </c>
      <c r="AX44" s="371" t="s">
        <v>80</v>
      </c>
      <c r="AY44" s="372" t="s">
        <v>168</v>
      </c>
      <c r="BA44" s="384" t="s">
        <v>239</v>
      </c>
      <c r="BB44" s="370" t="s">
        <v>234</v>
      </c>
      <c r="BC44" s="371" t="s">
        <v>79</v>
      </c>
      <c r="BD44" s="371" t="s">
        <v>80</v>
      </c>
      <c r="BE44" s="372" t="s">
        <v>168</v>
      </c>
      <c r="BF44" s="368"/>
      <c r="BG44" s="369"/>
    </row>
    <row r="45" spans="1:59">
      <c r="A45" s="367" t="s">
        <v>188</v>
      </c>
      <c r="B45" s="385">
        <v>3.7</v>
      </c>
      <c r="C45" s="373">
        <v>1</v>
      </c>
      <c r="D45" s="374"/>
      <c r="E45" s="374"/>
      <c r="F45" s="375">
        <f>SUM(C45:E45)</f>
        <v>1</v>
      </c>
      <c r="H45" s="385">
        <v>5</v>
      </c>
      <c r="I45" s="373"/>
      <c r="J45" s="374">
        <v>5</v>
      </c>
      <c r="K45" s="374"/>
      <c r="L45" s="375">
        <f>+I45+J45-K45</f>
        <v>5</v>
      </c>
      <c r="O45" s="402"/>
      <c r="P45" s="367" t="s">
        <v>188</v>
      </c>
      <c r="Q45" s="385">
        <f>+Q25</f>
        <v>3.8480000000000003</v>
      </c>
      <c r="R45" s="373">
        <f>+F45</f>
        <v>1</v>
      </c>
      <c r="S45" s="374">
        <v>0</v>
      </c>
      <c r="T45" s="374"/>
      <c r="U45" s="375">
        <f>SUM(R45:T45)</f>
        <v>1</v>
      </c>
      <c r="W45" s="385">
        <f>+W25</f>
        <v>2.5299999999999998</v>
      </c>
      <c r="X45" s="373">
        <f>+L45</f>
        <v>5</v>
      </c>
      <c r="Y45" s="374"/>
      <c r="Z45" s="374"/>
      <c r="AA45" s="375">
        <f>+X45+Y45-Z45</f>
        <v>5</v>
      </c>
      <c r="AC45" s="292"/>
      <c r="AE45" s="367" t="s">
        <v>188</v>
      </c>
      <c r="AF45" s="385">
        <f>+AF25</f>
        <v>4.0404000000000009</v>
      </c>
      <c r="AG45" s="373">
        <f>+U45</f>
        <v>1</v>
      </c>
      <c r="AH45" s="374">
        <v>6</v>
      </c>
      <c r="AI45" s="374"/>
      <c r="AJ45" s="375">
        <f>SUM(AG45:AI45)</f>
        <v>7</v>
      </c>
      <c r="AL45" s="385">
        <f>+AL25</f>
        <v>2.7829999999999999</v>
      </c>
      <c r="AM45" s="373">
        <f>+AA45</f>
        <v>5</v>
      </c>
      <c r="AN45" s="374">
        <v>0</v>
      </c>
      <c r="AO45" s="374"/>
      <c r="AP45" s="375">
        <f>+AM45+AN45-AO45</f>
        <v>5</v>
      </c>
      <c r="AR45" s="292"/>
      <c r="AT45" s="367" t="s">
        <v>188</v>
      </c>
      <c r="AU45" s="385">
        <f>+AU25</f>
        <v>4.4444400000000011</v>
      </c>
      <c r="AV45" s="373">
        <f>+AJ45</f>
        <v>7</v>
      </c>
      <c r="AW45" s="374">
        <v>3</v>
      </c>
      <c r="AX45" s="374"/>
      <c r="AY45" s="375">
        <f>SUM(AV45:AX45)</f>
        <v>10</v>
      </c>
      <c r="BA45" s="385">
        <f>+BA25</f>
        <v>3.2004499999999996</v>
      </c>
      <c r="BB45" s="373">
        <f>+AP45</f>
        <v>5</v>
      </c>
      <c r="BC45" s="374">
        <v>6</v>
      </c>
      <c r="BD45" s="374"/>
      <c r="BE45" s="375">
        <f>+BB45+BC45-BD45</f>
        <v>11</v>
      </c>
      <c r="BG45" s="292"/>
    </row>
    <row r="46" spans="1:59">
      <c r="A46" s="367" t="s">
        <v>232</v>
      </c>
      <c r="B46" s="386">
        <v>44.1</v>
      </c>
      <c r="C46" s="376"/>
      <c r="D46" s="377"/>
      <c r="E46" s="377"/>
      <c r="F46" s="378">
        <f>SUM(C46:E46)</f>
        <v>0</v>
      </c>
      <c r="H46" s="386">
        <v>27.6</v>
      </c>
      <c r="I46" s="376"/>
      <c r="J46" s="377">
        <v>2</v>
      </c>
      <c r="K46" s="377"/>
      <c r="L46" s="378">
        <f>+I46+J46-K46</f>
        <v>2</v>
      </c>
      <c r="O46" s="402"/>
      <c r="P46" s="367" t="s">
        <v>232</v>
      </c>
      <c r="Q46" s="386">
        <f>+Q26</f>
        <v>45.864000000000004</v>
      </c>
      <c r="R46" s="376">
        <f>+F46</f>
        <v>0</v>
      </c>
      <c r="S46" s="377">
        <v>0</v>
      </c>
      <c r="T46" s="377"/>
      <c r="U46" s="378">
        <f>SUM(R46:T46)</f>
        <v>0</v>
      </c>
      <c r="W46" s="386">
        <f>+W26</f>
        <v>30.360000000000003</v>
      </c>
      <c r="X46" s="376">
        <f>+L46</f>
        <v>2</v>
      </c>
      <c r="Y46" s="377">
        <v>5</v>
      </c>
      <c r="Z46" s="377"/>
      <c r="AA46" s="378">
        <f>+X46+Y46-Z46</f>
        <v>7</v>
      </c>
      <c r="AC46" s="292"/>
      <c r="AE46" s="367" t="s">
        <v>232</v>
      </c>
      <c r="AF46" s="386">
        <f>+AF26</f>
        <v>48.157200000000003</v>
      </c>
      <c r="AG46" s="376">
        <f>+U46</f>
        <v>0</v>
      </c>
      <c r="AH46" s="377">
        <v>2</v>
      </c>
      <c r="AI46" s="377"/>
      <c r="AJ46" s="378">
        <f>SUM(AG46:AI46)</f>
        <v>2</v>
      </c>
      <c r="AL46" s="386">
        <f>+AL26</f>
        <v>33.396000000000008</v>
      </c>
      <c r="AM46" s="376">
        <f>+AA46</f>
        <v>7</v>
      </c>
      <c r="AN46" s="377">
        <v>5</v>
      </c>
      <c r="AO46" s="377"/>
      <c r="AP46" s="378">
        <f>+AM46+AN46-AO46</f>
        <v>12</v>
      </c>
      <c r="AR46" s="292"/>
      <c r="AT46" s="367" t="s">
        <v>232</v>
      </c>
      <c r="AU46" s="386">
        <f>+AU26</f>
        <v>52.972920000000009</v>
      </c>
      <c r="AV46" s="376">
        <f>+AJ46</f>
        <v>2</v>
      </c>
      <c r="AW46" s="377">
        <v>4</v>
      </c>
      <c r="AX46" s="377"/>
      <c r="AY46" s="378">
        <f>SUM(AV46:AX46)</f>
        <v>6</v>
      </c>
      <c r="BA46" s="386">
        <f>+BA26</f>
        <v>38.405400000000007</v>
      </c>
      <c r="BB46" s="376">
        <f>+AP46</f>
        <v>12</v>
      </c>
      <c r="BC46" s="377">
        <v>15</v>
      </c>
      <c r="BD46" s="377"/>
      <c r="BE46" s="378">
        <f>+BB46+BC46-BD46</f>
        <v>27</v>
      </c>
      <c r="BG46" s="292"/>
    </row>
    <row r="47" spans="1:59">
      <c r="A47" s="367" t="s">
        <v>189</v>
      </c>
      <c r="B47" s="386">
        <v>219.7</v>
      </c>
      <c r="C47" s="376"/>
      <c r="D47" s="377"/>
      <c r="E47" s="377"/>
      <c r="F47" s="378">
        <f>SUM(C47:E47)</f>
        <v>0</v>
      </c>
      <c r="H47" s="386">
        <v>198.7</v>
      </c>
      <c r="I47" s="376"/>
      <c r="J47" s="377"/>
      <c r="K47" s="377"/>
      <c r="L47" s="378">
        <f>+I47+J47-K47</f>
        <v>0</v>
      </c>
      <c r="O47" s="402"/>
      <c r="P47" s="367" t="s">
        <v>189</v>
      </c>
      <c r="Q47" s="386">
        <f>+Q27</f>
        <v>228.488</v>
      </c>
      <c r="R47" s="376">
        <f>+F47</f>
        <v>0</v>
      </c>
      <c r="S47" s="377">
        <v>0</v>
      </c>
      <c r="T47" s="377"/>
      <c r="U47" s="378">
        <f>SUM(R47:T47)</f>
        <v>0</v>
      </c>
      <c r="W47" s="386">
        <f>+W27</f>
        <v>218.57</v>
      </c>
      <c r="X47" s="376">
        <f>+L47</f>
        <v>0</v>
      </c>
      <c r="Y47" s="377">
        <v>5</v>
      </c>
      <c r="Z47" s="377"/>
      <c r="AA47" s="378">
        <f>+X47+Y47-Z47</f>
        <v>5</v>
      </c>
      <c r="AC47" s="292"/>
      <c r="AE47" s="367" t="s">
        <v>189</v>
      </c>
      <c r="AF47" s="386">
        <f>+AF27</f>
        <v>239.91240000000002</v>
      </c>
      <c r="AG47" s="376">
        <f>+U47</f>
        <v>0</v>
      </c>
      <c r="AH47" s="377">
        <v>2</v>
      </c>
      <c r="AI47" s="377"/>
      <c r="AJ47" s="378">
        <f>SUM(AG47:AI47)</f>
        <v>2</v>
      </c>
      <c r="AL47" s="386">
        <f>+AL27</f>
        <v>240.42700000000002</v>
      </c>
      <c r="AM47" s="376">
        <f>+AA47</f>
        <v>5</v>
      </c>
      <c r="AN47" s="377">
        <v>5</v>
      </c>
      <c r="AO47" s="377"/>
      <c r="AP47" s="378">
        <f>+AM47+AN47-AO47</f>
        <v>10</v>
      </c>
      <c r="AR47" s="292"/>
      <c r="AT47" s="367" t="s">
        <v>189</v>
      </c>
      <c r="AU47" s="386">
        <f>+AU27</f>
        <v>263.90364000000005</v>
      </c>
      <c r="AV47" s="376">
        <f>+AJ47</f>
        <v>2</v>
      </c>
      <c r="AW47" s="377">
        <v>2</v>
      </c>
      <c r="AX47" s="377"/>
      <c r="AY47" s="378">
        <f>SUM(AV47:AX47)</f>
        <v>4</v>
      </c>
      <c r="BA47" s="386">
        <f>+BA27</f>
        <v>276.49105000000003</v>
      </c>
      <c r="BB47" s="376">
        <f>+AP47</f>
        <v>10</v>
      </c>
      <c r="BC47" s="377">
        <v>8</v>
      </c>
      <c r="BD47" s="377"/>
      <c r="BE47" s="378">
        <f>+BB47+BC47-BD47</f>
        <v>18</v>
      </c>
      <c r="BG47" s="292"/>
    </row>
    <row r="48" spans="1:59" ht="15.75" thickBot="1">
      <c r="A48" s="367" t="s">
        <v>233</v>
      </c>
      <c r="B48" s="387">
        <v>1085</v>
      </c>
      <c r="C48" s="379"/>
      <c r="D48" s="380"/>
      <c r="E48" s="380"/>
      <c r="F48" s="381">
        <f>SUM(C48:E48)</f>
        <v>0</v>
      </c>
      <c r="H48" s="387">
        <v>880</v>
      </c>
      <c r="I48" s="379"/>
      <c r="J48" s="380"/>
      <c r="K48" s="380"/>
      <c r="L48" s="381">
        <f>+I48+J48-K48</f>
        <v>0</v>
      </c>
      <c r="O48" s="402"/>
      <c r="P48" s="367" t="s">
        <v>233</v>
      </c>
      <c r="Q48" s="387">
        <f>+Q28</f>
        <v>1128.4000000000001</v>
      </c>
      <c r="R48" s="379">
        <f>+F48</f>
        <v>0</v>
      </c>
      <c r="S48" s="380"/>
      <c r="T48" s="380"/>
      <c r="U48" s="381">
        <f>SUM(R48:T48)</f>
        <v>0</v>
      </c>
      <c r="W48" s="387">
        <f>+W28</f>
        <v>968.00000000000011</v>
      </c>
      <c r="X48" s="379">
        <f>+L48</f>
        <v>0</v>
      </c>
      <c r="Y48" s="380">
        <v>0</v>
      </c>
      <c r="Z48" s="380"/>
      <c r="AA48" s="381">
        <f>+X48+Y48-Z48</f>
        <v>0</v>
      </c>
      <c r="AC48" s="292"/>
      <c r="AE48" s="367" t="s">
        <v>233</v>
      </c>
      <c r="AF48" s="387">
        <f>+AF28</f>
        <v>1184.8200000000002</v>
      </c>
      <c r="AG48" s="379">
        <f>+U48</f>
        <v>0</v>
      </c>
      <c r="AH48" s="380"/>
      <c r="AI48" s="380"/>
      <c r="AJ48" s="381">
        <f>SUM(AG48:AI48)</f>
        <v>0</v>
      </c>
      <c r="AL48" s="387">
        <f>+AL28</f>
        <v>1064.8000000000002</v>
      </c>
      <c r="AM48" s="379">
        <f>+AA48</f>
        <v>0</v>
      </c>
      <c r="AN48" s="380">
        <v>1</v>
      </c>
      <c r="AO48" s="380"/>
      <c r="AP48" s="381">
        <f>+AM48+AN48-AO48</f>
        <v>1</v>
      </c>
      <c r="AR48" s="292"/>
      <c r="AT48" s="367" t="s">
        <v>233</v>
      </c>
      <c r="AU48" s="387">
        <f>+AU28</f>
        <v>1303.3020000000004</v>
      </c>
      <c r="AV48" s="379">
        <f>+AJ48</f>
        <v>0</v>
      </c>
      <c r="AW48" s="380">
        <v>0</v>
      </c>
      <c r="AX48" s="380"/>
      <c r="AY48" s="381">
        <f>SUM(AV48:AX48)</f>
        <v>0</v>
      </c>
      <c r="BA48" s="387">
        <f>+BA28</f>
        <v>1224.5200000000002</v>
      </c>
      <c r="BB48" s="379">
        <f>+AP48</f>
        <v>1</v>
      </c>
      <c r="BC48" s="380">
        <v>1</v>
      </c>
      <c r="BD48" s="380"/>
      <c r="BE48" s="381">
        <f>+BB48+BC48-BD48</f>
        <v>2</v>
      </c>
      <c r="BG48" s="292"/>
    </row>
    <row r="49" spans="1:59" ht="15.75" thickBot="1">
      <c r="A49" s="367" t="s">
        <v>23</v>
      </c>
      <c r="B49" s="387">
        <f>SUM(B45:B48)</f>
        <v>1352.5</v>
      </c>
      <c r="C49" s="379">
        <f>SUM(C45:C48)</f>
        <v>1</v>
      </c>
      <c r="D49" s="380">
        <f>SUM(D45:D48)</f>
        <v>0</v>
      </c>
      <c r="E49" s="380">
        <f>SUM(E45:E48)</f>
        <v>0</v>
      </c>
      <c r="F49" s="381">
        <f>SUM(F45:F48)</f>
        <v>1</v>
      </c>
      <c r="H49" s="387">
        <f>SUM(H45:H48)</f>
        <v>1111.3</v>
      </c>
      <c r="I49" s="379">
        <f>SUM(I45:I48)</f>
        <v>0</v>
      </c>
      <c r="J49" s="380">
        <f>SUM(J45:J48)</f>
        <v>7</v>
      </c>
      <c r="K49" s="380">
        <f>SUM(K45:K48)</f>
        <v>0</v>
      </c>
      <c r="L49" s="381">
        <f>SUM(L45:L48)</f>
        <v>7</v>
      </c>
      <c r="O49" s="402"/>
      <c r="P49" s="367" t="s">
        <v>23</v>
      </c>
      <c r="Q49" s="387">
        <f>SUM(Q45:Q48)</f>
        <v>1406.6000000000001</v>
      </c>
      <c r="R49" s="379">
        <f>SUM(R45:R48)</f>
        <v>1</v>
      </c>
      <c r="S49" s="380">
        <f>SUM(S45:S48)</f>
        <v>0</v>
      </c>
      <c r="T49" s="380">
        <f>SUM(T45:T48)</f>
        <v>0</v>
      </c>
      <c r="U49" s="381">
        <f>SUM(U45:U48)</f>
        <v>1</v>
      </c>
      <c r="W49" s="387">
        <f>SUM(W45:W48)</f>
        <v>1219.46</v>
      </c>
      <c r="X49" s="379">
        <f>SUM(X45:X48)</f>
        <v>7</v>
      </c>
      <c r="Y49" s="380">
        <f>SUM(Y45:Y48)</f>
        <v>10</v>
      </c>
      <c r="Z49" s="380">
        <f>SUM(Z45:Z48)</f>
        <v>0</v>
      </c>
      <c r="AA49" s="381">
        <f>SUM(AA45:AA48)</f>
        <v>17</v>
      </c>
      <c r="AC49" s="292"/>
      <c r="AE49" s="367" t="s">
        <v>23</v>
      </c>
      <c r="AF49" s="387">
        <f>SUM(AF45:AF48)</f>
        <v>1476.9300000000003</v>
      </c>
      <c r="AG49" s="379">
        <f>SUM(AG45:AG48)</f>
        <v>1</v>
      </c>
      <c r="AH49" s="380">
        <f>SUM(AH45:AH48)</f>
        <v>10</v>
      </c>
      <c r="AI49" s="380">
        <f>SUM(AI45:AI48)</f>
        <v>0</v>
      </c>
      <c r="AJ49" s="381">
        <f>SUM(AJ45:AJ48)</f>
        <v>11</v>
      </c>
      <c r="AL49" s="387">
        <f>SUM(AL45:AL48)</f>
        <v>1341.4060000000002</v>
      </c>
      <c r="AM49" s="379">
        <f>SUM(AM45:AM48)</f>
        <v>17</v>
      </c>
      <c r="AN49" s="380">
        <f>SUM(AN45:AN48)</f>
        <v>11</v>
      </c>
      <c r="AO49" s="380">
        <f>SUM(AO45:AO48)</f>
        <v>0</v>
      </c>
      <c r="AP49" s="381">
        <f>SUM(AP45:AP48)</f>
        <v>28</v>
      </c>
      <c r="AR49" s="292"/>
      <c r="AT49" s="367" t="s">
        <v>23</v>
      </c>
      <c r="AU49" s="387">
        <f>SUM(AU45:AU48)</f>
        <v>1624.6230000000005</v>
      </c>
      <c r="AV49" s="379">
        <f>SUM(AV45:AV48)</f>
        <v>11</v>
      </c>
      <c r="AW49" s="380">
        <f>SUM(AW45:AW48)</f>
        <v>9</v>
      </c>
      <c r="AX49" s="380">
        <f>SUM(AX45:AX48)</f>
        <v>0</v>
      </c>
      <c r="AY49" s="381">
        <f>SUM(AY45:AY48)</f>
        <v>20</v>
      </c>
      <c r="BA49" s="387">
        <f>SUM(BA45:BA48)</f>
        <v>1542.6169000000002</v>
      </c>
      <c r="BB49" s="379">
        <f>SUM(BB45:BB48)</f>
        <v>28</v>
      </c>
      <c r="BC49" s="380">
        <f>SUM(BC45:BC48)</f>
        <v>30</v>
      </c>
      <c r="BD49" s="380">
        <f>SUM(BD45:BD48)</f>
        <v>0</v>
      </c>
      <c r="BE49" s="381">
        <f>SUM(BE45:BE48)</f>
        <v>58</v>
      </c>
      <c r="BG49" s="292"/>
    </row>
    <row r="50" spans="1:59">
      <c r="O50" s="402"/>
      <c r="P50" s="287"/>
      <c r="Q50" s="287"/>
      <c r="AC50" s="292"/>
      <c r="AR50" s="292"/>
      <c r="BG50" s="292"/>
    </row>
    <row r="51" spans="1:59" ht="15.75" thickBot="1">
      <c r="O51" s="402"/>
      <c r="P51" s="287"/>
      <c r="Q51" s="287"/>
      <c r="AC51" s="292"/>
      <c r="AR51" s="292"/>
      <c r="BG51" s="292"/>
    </row>
    <row r="52" spans="1:59" ht="15.75" thickBot="1">
      <c r="C52" s="871" t="s">
        <v>240</v>
      </c>
      <c r="D52" s="872"/>
      <c r="E52" s="872"/>
      <c r="F52" s="873"/>
      <c r="I52" s="868" t="s">
        <v>238</v>
      </c>
      <c r="J52" s="869"/>
      <c r="K52" s="869"/>
      <c r="L52" s="870"/>
      <c r="N52" s="400" t="s">
        <v>242</v>
      </c>
      <c r="O52" s="402"/>
      <c r="P52" s="287"/>
      <c r="Q52" s="287"/>
      <c r="R52" s="871" t="s">
        <v>240</v>
      </c>
      <c r="S52" s="872"/>
      <c r="T52" s="872"/>
      <c r="U52" s="873"/>
      <c r="X52" s="868" t="s">
        <v>238</v>
      </c>
      <c r="Y52" s="869"/>
      <c r="Z52" s="869"/>
      <c r="AA52" s="870"/>
      <c r="AC52" s="400" t="s">
        <v>242</v>
      </c>
      <c r="AG52" s="871" t="s">
        <v>240</v>
      </c>
      <c r="AH52" s="872"/>
      <c r="AI52" s="872"/>
      <c r="AJ52" s="873"/>
      <c r="AM52" s="868" t="s">
        <v>238</v>
      </c>
      <c r="AN52" s="869"/>
      <c r="AO52" s="869"/>
      <c r="AP52" s="870"/>
      <c r="AR52" s="400" t="s">
        <v>242</v>
      </c>
      <c r="AV52" s="871" t="s">
        <v>240</v>
      </c>
      <c r="AW52" s="872"/>
      <c r="AX52" s="872"/>
      <c r="AY52" s="873"/>
      <c r="BB52" s="868" t="s">
        <v>238</v>
      </c>
      <c r="BC52" s="869"/>
      <c r="BD52" s="869"/>
      <c r="BE52" s="870"/>
      <c r="BG52" s="400" t="s">
        <v>242</v>
      </c>
    </row>
    <row r="53" spans="1:59" ht="30.75" thickBot="1">
      <c r="A53" s="403" t="s">
        <v>244</v>
      </c>
      <c r="C53" s="370" t="s">
        <v>234</v>
      </c>
      <c r="D53" s="371" t="s">
        <v>79</v>
      </c>
      <c r="E53" s="371" t="s">
        <v>80</v>
      </c>
      <c r="F53" s="372" t="s">
        <v>168</v>
      </c>
      <c r="I53" s="370" t="s">
        <v>234</v>
      </c>
      <c r="J53" s="371" t="s">
        <v>79</v>
      </c>
      <c r="K53" s="371" t="s">
        <v>80</v>
      </c>
      <c r="L53" s="372" t="s">
        <v>168</v>
      </c>
      <c r="N53" s="423" t="s">
        <v>11</v>
      </c>
      <c r="O53" s="402"/>
      <c r="P53" s="403" t="s">
        <v>244</v>
      </c>
      <c r="Q53" s="287"/>
      <c r="R53" s="370" t="s">
        <v>234</v>
      </c>
      <c r="S53" s="371" t="s">
        <v>79</v>
      </c>
      <c r="T53" s="371" t="s">
        <v>80</v>
      </c>
      <c r="U53" s="372" t="s">
        <v>168</v>
      </c>
      <c r="X53" s="370" t="s">
        <v>234</v>
      </c>
      <c r="Y53" s="371" t="s">
        <v>79</v>
      </c>
      <c r="Z53" s="371" t="s">
        <v>80</v>
      </c>
      <c r="AA53" s="372" t="s">
        <v>168</v>
      </c>
      <c r="AC53" s="423" t="s">
        <v>12</v>
      </c>
      <c r="AE53" s="403" t="s">
        <v>244</v>
      </c>
      <c r="AG53" s="370" t="s">
        <v>234</v>
      </c>
      <c r="AH53" s="371" t="s">
        <v>79</v>
      </c>
      <c r="AI53" s="371" t="s">
        <v>80</v>
      </c>
      <c r="AJ53" s="372" t="s">
        <v>168</v>
      </c>
      <c r="AM53" s="370" t="s">
        <v>234</v>
      </c>
      <c r="AN53" s="371" t="s">
        <v>79</v>
      </c>
      <c r="AO53" s="371" t="s">
        <v>80</v>
      </c>
      <c r="AP53" s="372" t="s">
        <v>168</v>
      </c>
      <c r="AR53" s="423" t="s">
        <v>13</v>
      </c>
      <c r="AT53" s="403" t="s">
        <v>244</v>
      </c>
      <c r="AV53" s="370" t="s">
        <v>234</v>
      </c>
      <c r="AW53" s="371" t="s">
        <v>79</v>
      </c>
      <c r="AX53" s="371" t="s">
        <v>80</v>
      </c>
      <c r="AY53" s="372" t="s">
        <v>168</v>
      </c>
      <c r="BB53" s="370" t="s">
        <v>234</v>
      </c>
      <c r="BC53" s="371" t="s">
        <v>79</v>
      </c>
      <c r="BD53" s="371" t="s">
        <v>80</v>
      </c>
      <c r="BE53" s="372" t="s">
        <v>168</v>
      </c>
      <c r="BG53" s="423" t="s">
        <v>14</v>
      </c>
    </row>
    <row r="54" spans="1:59">
      <c r="A54" s="367" t="s">
        <v>188</v>
      </c>
      <c r="C54" s="388">
        <f>+B45*C45</f>
        <v>3.7</v>
      </c>
      <c r="D54" s="389">
        <f t="shared" ref="D54:E57" si="16">+B45*D45</f>
        <v>0</v>
      </c>
      <c r="E54" s="389">
        <f t="shared" si="16"/>
        <v>0</v>
      </c>
      <c r="F54" s="390">
        <f>+C54+D54-E54</f>
        <v>3.7</v>
      </c>
      <c r="G54" s="292"/>
      <c r="H54" s="292"/>
      <c r="I54" s="388">
        <f>+H45*I45</f>
        <v>0</v>
      </c>
      <c r="J54" s="389">
        <f t="shared" ref="J54:K57" si="17">+H45*J45</f>
        <v>25</v>
      </c>
      <c r="K54" s="389">
        <f t="shared" si="17"/>
        <v>0</v>
      </c>
      <c r="L54" s="390">
        <f>+I54+J54-K54</f>
        <v>25</v>
      </c>
      <c r="N54" s="398">
        <f>(L54+F54)</f>
        <v>28.7</v>
      </c>
      <c r="O54" s="402"/>
      <c r="P54" s="367" t="s">
        <v>188</v>
      </c>
      <c r="Q54" s="287"/>
      <c r="R54" s="388">
        <f>+Q45*R45</f>
        <v>3.8480000000000003</v>
      </c>
      <c r="S54" s="389">
        <f t="shared" ref="S54:T57" si="18">+Q45*S45</f>
        <v>0</v>
      </c>
      <c r="T54" s="389">
        <f t="shared" si="18"/>
        <v>0</v>
      </c>
      <c r="U54" s="390">
        <f>+R54+S54-T54</f>
        <v>3.8480000000000003</v>
      </c>
      <c r="V54" s="292"/>
      <c r="W54" s="292"/>
      <c r="X54" s="388">
        <f>+W45*X45</f>
        <v>12.649999999999999</v>
      </c>
      <c r="Y54" s="389">
        <f t="shared" ref="Y54:Z57" si="19">+W45*Y45</f>
        <v>0</v>
      </c>
      <c r="Z54" s="389">
        <f t="shared" si="19"/>
        <v>0</v>
      </c>
      <c r="AA54" s="390">
        <f>+X54+Y54-Z54</f>
        <v>12.649999999999999</v>
      </c>
      <c r="AC54" s="398">
        <f>(AA54+U54)</f>
        <v>16.497999999999998</v>
      </c>
      <c r="AE54" s="367" t="s">
        <v>188</v>
      </c>
      <c r="AG54" s="388">
        <f>+AF45*AG45</f>
        <v>4.0404000000000009</v>
      </c>
      <c r="AH54" s="389">
        <f t="shared" ref="AH54:AI57" si="20">+AF45*AH45</f>
        <v>24.242400000000004</v>
      </c>
      <c r="AI54" s="389">
        <f t="shared" si="20"/>
        <v>0</v>
      </c>
      <c r="AJ54" s="390">
        <f>+AG54+AH54-AI54</f>
        <v>28.282800000000005</v>
      </c>
      <c r="AK54" s="292"/>
      <c r="AL54" s="292"/>
      <c r="AM54" s="388">
        <f>+AL45*AM45</f>
        <v>13.914999999999999</v>
      </c>
      <c r="AN54" s="389">
        <f t="shared" ref="AN54:AO57" si="21">+AL45*AN45</f>
        <v>0</v>
      </c>
      <c r="AO54" s="389">
        <f t="shared" si="21"/>
        <v>0</v>
      </c>
      <c r="AP54" s="390">
        <f>+AM54+AN54-AO54</f>
        <v>13.914999999999999</v>
      </c>
      <c r="AR54" s="398">
        <f>(AP54+AJ54)</f>
        <v>42.197800000000001</v>
      </c>
      <c r="AT54" s="367" t="s">
        <v>188</v>
      </c>
      <c r="AV54" s="388">
        <f>+AU45*AV45</f>
        <v>31.111080000000008</v>
      </c>
      <c r="AW54" s="389">
        <f t="shared" ref="AW54:AX57" si="22">+AU45*AW45</f>
        <v>13.333320000000004</v>
      </c>
      <c r="AX54" s="389">
        <f t="shared" si="22"/>
        <v>0</v>
      </c>
      <c r="AY54" s="390">
        <f>+AV54+AW54-AX54</f>
        <v>44.444400000000016</v>
      </c>
      <c r="AZ54" s="292"/>
      <c r="BA54" s="292"/>
      <c r="BB54" s="388">
        <f>+BA45*BB45</f>
        <v>16.002249999999997</v>
      </c>
      <c r="BC54" s="389">
        <f t="shared" ref="BC54:BD57" si="23">+BA45*BC45</f>
        <v>19.202699999999997</v>
      </c>
      <c r="BD54" s="389">
        <f t="shared" si="23"/>
        <v>0</v>
      </c>
      <c r="BE54" s="390">
        <f>+BB54+BC54-BD54</f>
        <v>35.204949999999997</v>
      </c>
      <c r="BG54" s="398">
        <f>(BE54+AY54)</f>
        <v>79.649350000000013</v>
      </c>
    </row>
    <row r="55" spans="1:59">
      <c r="A55" s="367" t="s">
        <v>232</v>
      </c>
      <c r="C55" s="391">
        <f>+B46*C46</f>
        <v>0</v>
      </c>
      <c r="D55" s="392">
        <f t="shared" si="16"/>
        <v>0</v>
      </c>
      <c r="E55" s="392">
        <f t="shared" si="16"/>
        <v>0</v>
      </c>
      <c r="F55" s="393">
        <f>+C55+D55-E55</f>
        <v>0</v>
      </c>
      <c r="G55" s="292"/>
      <c r="H55" s="292"/>
      <c r="I55" s="391">
        <f>+H46*I46</f>
        <v>0</v>
      </c>
      <c r="J55" s="392">
        <f t="shared" si="17"/>
        <v>55.2</v>
      </c>
      <c r="K55" s="392">
        <f t="shared" si="17"/>
        <v>0</v>
      </c>
      <c r="L55" s="393">
        <f>+I55+J55-K55</f>
        <v>55.2</v>
      </c>
      <c r="N55" s="399">
        <f>(L55+F55)</f>
        <v>55.2</v>
      </c>
      <c r="O55" s="402"/>
      <c r="P55" s="367" t="s">
        <v>232</v>
      </c>
      <c r="Q55" s="287"/>
      <c r="R55" s="391">
        <f>+Q46*R46</f>
        <v>0</v>
      </c>
      <c r="S55" s="392">
        <f t="shared" si="18"/>
        <v>0</v>
      </c>
      <c r="T55" s="392">
        <f t="shared" si="18"/>
        <v>0</v>
      </c>
      <c r="U55" s="393">
        <f>+R55+S55-T55</f>
        <v>0</v>
      </c>
      <c r="V55" s="292"/>
      <c r="W55" s="292"/>
      <c r="X55" s="391">
        <f>+W46*X46</f>
        <v>60.720000000000006</v>
      </c>
      <c r="Y55" s="392">
        <f t="shared" si="19"/>
        <v>151.80000000000001</v>
      </c>
      <c r="Z55" s="392">
        <f t="shared" si="19"/>
        <v>0</v>
      </c>
      <c r="AA55" s="393">
        <f>+X55+Y55-Z55</f>
        <v>212.52</v>
      </c>
      <c r="AC55" s="399">
        <f>(AA55+U55)</f>
        <v>212.52</v>
      </c>
      <c r="AE55" s="367" t="s">
        <v>232</v>
      </c>
      <c r="AG55" s="391">
        <f>+AF46*AG46</f>
        <v>0</v>
      </c>
      <c r="AH55" s="392">
        <f t="shared" si="20"/>
        <v>96.314400000000006</v>
      </c>
      <c r="AI55" s="392">
        <f t="shared" si="20"/>
        <v>0</v>
      </c>
      <c r="AJ55" s="393">
        <f>+AG55+AH55-AI55</f>
        <v>96.314400000000006</v>
      </c>
      <c r="AK55" s="292"/>
      <c r="AL55" s="292"/>
      <c r="AM55" s="391">
        <f>+AL46*AM46</f>
        <v>233.77200000000005</v>
      </c>
      <c r="AN55" s="392">
        <f t="shared" si="21"/>
        <v>166.98000000000005</v>
      </c>
      <c r="AO55" s="392">
        <f t="shared" si="21"/>
        <v>0</v>
      </c>
      <c r="AP55" s="393">
        <f>+AM55+AN55-AO55</f>
        <v>400.75200000000007</v>
      </c>
      <c r="AR55" s="399">
        <f>(AP55+AJ55)</f>
        <v>497.06640000000004</v>
      </c>
      <c r="AT55" s="367" t="s">
        <v>232</v>
      </c>
      <c r="AV55" s="391">
        <f>+AU46*AV46</f>
        <v>105.94584000000002</v>
      </c>
      <c r="AW55" s="392">
        <f t="shared" si="22"/>
        <v>211.89168000000004</v>
      </c>
      <c r="AX55" s="392">
        <f t="shared" si="22"/>
        <v>0</v>
      </c>
      <c r="AY55" s="393">
        <f>+AV55+AW55-AX55</f>
        <v>317.83752000000004</v>
      </c>
      <c r="AZ55" s="292"/>
      <c r="BA55" s="292"/>
      <c r="BB55" s="391">
        <f>+BA46*BB46</f>
        <v>460.86480000000006</v>
      </c>
      <c r="BC55" s="392">
        <f t="shared" si="23"/>
        <v>576.08100000000013</v>
      </c>
      <c r="BD55" s="392">
        <f t="shared" si="23"/>
        <v>0</v>
      </c>
      <c r="BE55" s="393">
        <f>+BB55+BC55-BD55</f>
        <v>1036.9458000000002</v>
      </c>
      <c r="BG55" s="399">
        <f>(BE55+AY55)</f>
        <v>1354.7833200000002</v>
      </c>
    </row>
    <row r="56" spans="1:59">
      <c r="A56" s="367" t="s">
        <v>189</v>
      </c>
      <c r="C56" s="391">
        <f>+B47*C47</f>
        <v>0</v>
      </c>
      <c r="D56" s="392">
        <f t="shared" si="16"/>
        <v>0</v>
      </c>
      <c r="E56" s="392">
        <f t="shared" si="16"/>
        <v>0</v>
      </c>
      <c r="F56" s="393">
        <f>+C56+D56-E56</f>
        <v>0</v>
      </c>
      <c r="G56" s="292"/>
      <c r="H56" s="292"/>
      <c r="I56" s="391">
        <f>+H47*I47</f>
        <v>0</v>
      </c>
      <c r="J56" s="392">
        <f t="shared" si="17"/>
        <v>0</v>
      </c>
      <c r="K56" s="392">
        <f t="shared" si="17"/>
        <v>0</v>
      </c>
      <c r="L56" s="393">
        <f>+I56+J56-K56</f>
        <v>0</v>
      </c>
      <c r="N56" s="399">
        <f>(L56+F56)</f>
        <v>0</v>
      </c>
      <c r="O56" s="402"/>
      <c r="P56" s="367" t="s">
        <v>189</v>
      </c>
      <c r="Q56" s="287"/>
      <c r="R56" s="391">
        <f>+Q47*R47</f>
        <v>0</v>
      </c>
      <c r="S56" s="392">
        <f t="shared" si="18"/>
        <v>0</v>
      </c>
      <c r="T56" s="392">
        <f t="shared" si="18"/>
        <v>0</v>
      </c>
      <c r="U56" s="393">
        <f>+R56+S56-T56</f>
        <v>0</v>
      </c>
      <c r="V56" s="292"/>
      <c r="W56" s="292"/>
      <c r="X56" s="391">
        <f>+W47*X47</f>
        <v>0</v>
      </c>
      <c r="Y56" s="392">
        <f t="shared" si="19"/>
        <v>1092.8499999999999</v>
      </c>
      <c r="Z56" s="392">
        <f t="shared" si="19"/>
        <v>0</v>
      </c>
      <c r="AA56" s="393">
        <f>+X56+Y56-Z56</f>
        <v>1092.8499999999999</v>
      </c>
      <c r="AC56" s="399">
        <f>(AA56+U56)</f>
        <v>1092.8499999999999</v>
      </c>
      <c r="AE56" s="367" t="s">
        <v>189</v>
      </c>
      <c r="AG56" s="391">
        <f>+AF47*AG47</f>
        <v>0</v>
      </c>
      <c r="AH56" s="392">
        <f t="shared" si="20"/>
        <v>479.82480000000004</v>
      </c>
      <c r="AI56" s="392">
        <f t="shared" si="20"/>
        <v>0</v>
      </c>
      <c r="AJ56" s="393">
        <f>+AG56+AH56-AI56</f>
        <v>479.82480000000004</v>
      </c>
      <c r="AK56" s="292"/>
      <c r="AL56" s="292"/>
      <c r="AM56" s="391">
        <f>+AL47*AM47</f>
        <v>1202.1350000000002</v>
      </c>
      <c r="AN56" s="392">
        <f t="shared" si="21"/>
        <v>1202.1350000000002</v>
      </c>
      <c r="AO56" s="392">
        <f t="shared" si="21"/>
        <v>0</v>
      </c>
      <c r="AP56" s="393">
        <f>+AM56+AN56-AO56</f>
        <v>2404.2700000000004</v>
      </c>
      <c r="AR56" s="399">
        <f>(AP56+AJ56)</f>
        <v>2884.0948000000003</v>
      </c>
      <c r="AT56" s="367" t="s">
        <v>189</v>
      </c>
      <c r="AV56" s="391">
        <f>+AU47*AV47</f>
        <v>527.80728000000011</v>
      </c>
      <c r="AW56" s="392">
        <f t="shared" si="22"/>
        <v>527.80728000000011</v>
      </c>
      <c r="AX56" s="392">
        <f t="shared" si="22"/>
        <v>0</v>
      </c>
      <c r="AY56" s="393">
        <f>+AV56+AW56-AX56</f>
        <v>1055.6145600000002</v>
      </c>
      <c r="AZ56" s="292"/>
      <c r="BA56" s="292"/>
      <c r="BB56" s="391">
        <f>+BA47*BB47</f>
        <v>2764.9105000000004</v>
      </c>
      <c r="BC56" s="392">
        <f t="shared" si="23"/>
        <v>2211.9284000000002</v>
      </c>
      <c r="BD56" s="392">
        <f t="shared" si="23"/>
        <v>0</v>
      </c>
      <c r="BE56" s="393">
        <f>+BB56+BC56-BD56</f>
        <v>4976.8389000000006</v>
      </c>
      <c r="BG56" s="399">
        <f>(BE56+AY56)</f>
        <v>6032.4534600000006</v>
      </c>
    </row>
    <row r="57" spans="1:59" ht="15.75" thickBot="1">
      <c r="A57" s="367" t="s">
        <v>233</v>
      </c>
      <c r="C57" s="394">
        <f>+B48*C48</f>
        <v>0</v>
      </c>
      <c r="D57" s="395">
        <f t="shared" si="16"/>
        <v>0</v>
      </c>
      <c r="E57" s="395">
        <f t="shared" si="16"/>
        <v>0</v>
      </c>
      <c r="F57" s="396">
        <f>+C57+D57-E57</f>
        <v>0</v>
      </c>
      <c r="G57" s="292"/>
      <c r="H57" s="292"/>
      <c r="I57" s="394">
        <f>+H48*I48</f>
        <v>0</v>
      </c>
      <c r="J57" s="395">
        <f t="shared" si="17"/>
        <v>0</v>
      </c>
      <c r="K57" s="395">
        <f t="shared" si="17"/>
        <v>0</v>
      </c>
      <c r="L57" s="396">
        <f>+I57+J57-K57</f>
        <v>0</v>
      </c>
      <c r="N57" s="399">
        <f>(L57+F57)</f>
        <v>0</v>
      </c>
      <c r="O57" s="402"/>
      <c r="P57" s="367" t="s">
        <v>233</v>
      </c>
      <c r="Q57" s="287"/>
      <c r="R57" s="394">
        <f>+Q48*R48</f>
        <v>0</v>
      </c>
      <c r="S57" s="395">
        <f t="shared" si="18"/>
        <v>0</v>
      </c>
      <c r="T57" s="395">
        <f t="shared" si="18"/>
        <v>0</v>
      </c>
      <c r="U57" s="396">
        <f>+R57+S57-T57</f>
        <v>0</v>
      </c>
      <c r="V57" s="292"/>
      <c r="W57" s="292"/>
      <c r="X57" s="394">
        <f>+W48*X48</f>
        <v>0</v>
      </c>
      <c r="Y57" s="395">
        <f t="shared" si="19"/>
        <v>0</v>
      </c>
      <c r="Z57" s="395">
        <f t="shared" si="19"/>
        <v>0</v>
      </c>
      <c r="AA57" s="396">
        <f>+X57+Y57-Z57</f>
        <v>0</v>
      </c>
      <c r="AC57" s="399">
        <f>(AA57+U57)</f>
        <v>0</v>
      </c>
      <c r="AE57" s="367" t="s">
        <v>233</v>
      </c>
      <c r="AG57" s="394">
        <f>+AF48*AG48</f>
        <v>0</v>
      </c>
      <c r="AH57" s="395">
        <f t="shared" si="20"/>
        <v>0</v>
      </c>
      <c r="AI57" s="395">
        <f t="shared" si="20"/>
        <v>0</v>
      </c>
      <c r="AJ57" s="396">
        <f>+AG57+AH57-AI57</f>
        <v>0</v>
      </c>
      <c r="AK57" s="292"/>
      <c r="AL57" s="292"/>
      <c r="AM57" s="394">
        <f>+AL48*AM48</f>
        <v>0</v>
      </c>
      <c r="AN57" s="395">
        <f t="shared" si="21"/>
        <v>1064.8000000000002</v>
      </c>
      <c r="AO57" s="395">
        <f t="shared" si="21"/>
        <v>0</v>
      </c>
      <c r="AP57" s="396">
        <f>+AM57+AN57-AO57</f>
        <v>1064.8000000000002</v>
      </c>
      <c r="AR57" s="399">
        <f>(AP57+AJ57)</f>
        <v>1064.8000000000002</v>
      </c>
      <c r="AT57" s="367" t="s">
        <v>233</v>
      </c>
      <c r="AV57" s="394">
        <f>+AU48*AV48</f>
        <v>0</v>
      </c>
      <c r="AW57" s="395">
        <f t="shared" si="22"/>
        <v>0</v>
      </c>
      <c r="AX57" s="395">
        <f t="shared" si="22"/>
        <v>0</v>
      </c>
      <c r="AY57" s="396">
        <f>+AV57+AW57-AX57</f>
        <v>0</v>
      </c>
      <c r="AZ57" s="292"/>
      <c r="BA57" s="292"/>
      <c r="BB57" s="394">
        <f>+BA48*BB48</f>
        <v>1224.5200000000002</v>
      </c>
      <c r="BC57" s="395">
        <f t="shared" si="23"/>
        <v>1224.5200000000002</v>
      </c>
      <c r="BD57" s="395">
        <f t="shared" si="23"/>
        <v>0</v>
      </c>
      <c r="BE57" s="396">
        <f>+BB57+BC57-BD57</f>
        <v>2449.0400000000004</v>
      </c>
      <c r="BG57" s="399">
        <f>(BE57+AY57)</f>
        <v>2449.0400000000004</v>
      </c>
    </row>
    <row r="58" spans="1:59" ht="15.75" thickBot="1">
      <c r="A58" s="367" t="s">
        <v>23</v>
      </c>
      <c r="C58" s="394">
        <f>SUM(C54:C57)</f>
        <v>3.7</v>
      </c>
      <c r="D58" s="395">
        <f>SUM(D54:D57)</f>
        <v>0</v>
      </c>
      <c r="E58" s="395">
        <f>SUM(E54:E57)</f>
        <v>0</v>
      </c>
      <c r="F58" s="396">
        <f>SUM(F54:F57)</f>
        <v>3.7</v>
      </c>
      <c r="G58" s="292"/>
      <c r="H58" s="292"/>
      <c r="I58" s="394">
        <f>SUM(I54:I57)</f>
        <v>0</v>
      </c>
      <c r="J58" s="395">
        <f>SUM(J54:J57)</f>
        <v>80.2</v>
      </c>
      <c r="K58" s="395">
        <f>SUM(K54:K57)</f>
        <v>0</v>
      </c>
      <c r="L58" s="396">
        <f>SUM(L54:L57)</f>
        <v>80.2</v>
      </c>
      <c r="N58" s="397">
        <f>SUM(N54:N57)</f>
        <v>83.9</v>
      </c>
      <c r="O58" s="402"/>
      <c r="P58" s="367" t="s">
        <v>23</v>
      </c>
      <c r="Q58" s="287"/>
      <c r="R58" s="394">
        <f>SUM(R54:R57)</f>
        <v>3.8480000000000003</v>
      </c>
      <c r="S58" s="395">
        <f>SUM(S54:S57)</f>
        <v>0</v>
      </c>
      <c r="T58" s="395">
        <f>SUM(T54:T57)</f>
        <v>0</v>
      </c>
      <c r="U58" s="396">
        <f>SUM(U54:U57)</f>
        <v>3.8480000000000003</v>
      </c>
      <c r="V58" s="292"/>
      <c r="W58" s="292"/>
      <c r="X58" s="394">
        <f>SUM(X54:X57)</f>
        <v>73.37</v>
      </c>
      <c r="Y58" s="395">
        <f>SUM(Y54:Y57)</f>
        <v>1244.6499999999999</v>
      </c>
      <c r="Z58" s="395">
        <f>SUM(Z54:Z57)</f>
        <v>0</v>
      </c>
      <c r="AA58" s="396">
        <f>SUM(AA54:AA57)</f>
        <v>1318.02</v>
      </c>
      <c r="AC58" s="397">
        <f>SUM(AC54:AC57)</f>
        <v>1321.8679999999999</v>
      </c>
      <c r="AE58" s="367" t="s">
        <v>23</v>
      </c>
      <c r="AG58" s="394">
        <f>SUM(AG54:AG57)</f>
        <v>4.0404000000000009</v>
      </c>
      <c r="AH58" s="395">
        <f>SUM(AH54:AH57)</f>
        <v>600.38160000000005</v>
      </c>
      <c r="AI58" s="395">
        <f>SUM(AI54:AI57)</f>
        <v>0</v>
      </c>
      <c r="AJ58" s="396">
        <f>SUM(AJ54:AJ57)</f>
        <v>604.42200000000003</v>
      </c>
      <c r="AK58" s="292"/>
      <c r="AL58" s="292"/>
      <c r="AM58" s="394">
        <f>SUM(AM54:AM57)</f>
        <v>1449.8220000000003</v>
      </c>
      <c r="AN58" s="395">
        <f>SUM(AN54:AN57)</f>
        <v>2433.9150000000004</v>
      </c>
      <c r="AO58" s="395">
        <f>SUM(AO54:AO57)</f>
        <v>0</v>
      </c>
      <c r="AP58" s="396">
        <f>SUM(AP54:AP57)</f>
        <v>3883.7370000000005</v>
      </c>
      <c r="AR58" s="397">
        <f>SUM(AR54:AR57)</f>
        <v>4488.1590000000006</v>
      </c>
      <c r="AT58" s="367" t="s">
        <v>23</v>
      </c>
      <c r="AV58" s="394">
        <f>SUM(AV54:AV57)</f>
        <v>664.8642000000001</v>
      </c>
      <c r="AW58" s="395">
        <f>SUM(AW54:AW57)</f>
        <v>753.03228000000013</v>
      </c>
      <c r="AX58" s="395">
        <f>SUM(AX54:AX57)</f>
        <v>0</v>
      </c>
      <c r="AY58" s="396">
        <f>SUM(AY54:AY57)</f>
        <v>1417.8964800000003</v>
      </c>
      <c r="AZ58" s="292"/>
      <c r="BA58" s="292"/>
      <c r="BB58" s="394">
        <f>SUM(BB54:BB57)</f>
        <v>4466.2975500000011</v>
      </c>
      <c r="BC58" s="395">
        <f>SUM(BC54:BC57)</f>
        <v>4031.7321000000011</v>
      </c>
      <c r="BD58" s="395">
        <f>SUM(BD54:BD57)</f>
        <v>0</v>
      </c>
      <c r="BE58" s="396">
        <f>SUM(BE54:BE57)</f>
        <v>8498.0296500000022</v>
      </c>
      <c r="BG58" s="397">
        <f>SUM(BG54:BG57)</f>
        <v>9915.9261300000016</v>
      </c>
    </row>
    <row r="59" spans="1:59">
      <c r="O59" s="402"/>
      <c r="P59" s="287"/>
      <c r="Q59" s="287"/>
      <c r="AC59" s="292"/>
      <c r="AR59" s="292"/>
      <c r="BG59" s="292"/>
    </row>
    <row r="60" spans="1:59">
      <c r="O60" s="402"/>
      <c r="P60" s="287"/>
      <c r="Q60" s="287"/>
      <c r="AC60" s="292"/>
      <c r="AR60" s="292"/>
      <c r="BG60" s="292"/>
    </row>
    <row r="61" spans="1:59" s="380" customFormat="1" ht="16.5" thickBot="1">
      <c r="A61" s="419"/>
      <c r="B61" s="419"/>
      <c r="C61" s="419"/>
      <c r="D61" s="419"/>
      <c r="E61" s="419"/>
      <c r="F61" s="419"/>
      <c r="G61" s="420"/>
      <c r="H61" s="419"/>
      <c r="I61" s="419"/>
      <c r="J61" s="419"/>
      <c r="K61" s="419"/>
      <c r="L61" s="419"/>
      <c r="M61" s="419"/>
      <c r="N61" s="421"/>
      <c r="O61" s="422"/>
      <c r="P61" s="419"/>
      <c r="Q61" s="419"/>
      <c r="R61" s="419"/>
      <c r="S61" s="419"/>
      <c r="T61" s="419"/>
      <c r="U61" s="419"/>
      <c r="V61" s="420"/>
      <c r="W61" s="419"/>
      <c r="X61" s="419"/>
      <c r="Y61" s="419"/>
      <c r="Z61" s="419"/>
      <c r="AA61" s="419"/>
      <c r="AB61" s="419"/>
      <c r="AC61" s="421"/>
      <c r="AE61" s="419"/>
      <c r="AF61" s="419"/>
      <c r="AG61" s="419"/>
      <c r="AH61" s="419"/>
      <c r="AI61" s="419"/>
      <c r="AJ61" s="419"/>
      <c r="AK61" s="420"/>
      <c r="AL61" s="419"/>
      <c r="AM61" s="419"/>
      <c r="AN61" s="419"/>
      <c r="AO61" s="419"/>
      <c r="AP61" s="419"/>
      <c r="AQ61" s="419"/>
      <c r="AR61" s="421"/>
      <c r="AT61" s="419"/>
      <c r="AU61" s="419"/>
      <c r="AV61" s="419"/>
      <c r="AW61" s="419"/>
      <c r="AX61" s="419"/>
      <c r="AY61" s="419"/>
      <c r="AZ61" s="420"/>
      <c r="BA61" s="419"/>
      <c r="BB61" s="419"/>
      <c r="BC61" s="419"/>
      <c r="BD61" s="419"/>
      <c r="BE61" s="419"/>
      <c r="BF61" s="419"/>
      <c r="BG61" s="421"/>
    </row>
    <row r="62" spans="1:59" ht="15.75" thickBot="1">
      <c r="O62" s="402"/>
      <c r="P62" s="287"/>
      <c r="Q62" s="287"/>
      <c r="AC62" s="292"/>
      <c r="AR62" s="292"/>
      <c r="BG62" s="292"/>
    </row>
    <row r="63" spans="1:59" ht="15.75" thickBot="1">
      <c r="C63" s="871" t="s">
        <v>237</v>
      </c>
      <c r="D63" s="872"/>
      <c r="E63" s="872"/>
      <c r="F63" s="873"/>
      <c r="I63" s="868" t="s">
        <v>238</v>
      </c>
      <c r="J63" s="869"/>
      <c r="K63" s="869"/>
      <c r="L63" s="870"/>
      <c r="O63" s="402"/>
      <c r="P63" s="287"/>
      <c r="Q63" s="287"/>
      <c r="R63" s="871" t="s">
        <v>237</v>
      </c>
      <c r="S63" s="872"/>
      <c r="T63" s="872"/>
      <c r="U63" s="873"/>
      <c r="X63" s="868" t="s">
        <v>238</v>
      </c>
      <c r="Y63" s="869"/>
      <c r="Z63" s="869"/>
      <c r="AA63" s="870"/>
      <c r="AC63" s="292"/>
      <c r="AG63" s="871" t="s">
        <v>237</v>
      </c>
      <c r="AH63" s="872"/>
      <c r="AI63" s="872"/>
      <c r="AJ63" s="873"/>
      <c r="AM63" s="868" t="s">
        <v>238</v>
      </c>
      <c r="AN63" s="869"/>
      <c r="AO63" s="869"/>
      <c r="AP63" s="870"/>
      <c r="AR63" s="292"/>
      <c r="AV63" s="871" t="s">
        <v>237</v>
      </c>
      <c r="AW63" s="872"/>
      <c r="AX63" s="872"/>
      <c r="AY63" s="873"/>
      <c r="BB63" s="868" t="s">
        <v>238</v>
      </c>
      <c r="BC63" s="869"/>
      <c r="BD63" s="869"/>
      <c r="BE63" s="870"/>
      <c r="BG63" s="292"/>
    </row>
    <row r="64" spans="1:59" ht="30.75" thickBot="1">
      <c r="A64" s="383" t="s">
        <v>247</v>
      </c>
      <c r="C64" s="370" t="s">
        <v>234</v>
      </c>
      <c r="D64" s="371" t="s">
        <v>79</v>
      </c>
      <c r="E64" s="371" t="s">
        <v>80</v>
      </c>
      <c r="F64" s="372" t="s">
        <v>168</v>
      </c>
      <c r="I64" s="370" t="s">
        <v>234</v>
      </c>
      <c r="J64" s="371" t="s">
        <v>79</v>
      </c>
      <c r="K64" s="371" t="s">
        <v>80</v>
      </c>
      <c r="L64" s="372" t="s">
        <v>168</v>
      </c>
      <c r="M64" s="368"/>
      <c r="N64" s="369"/>
      <c r="O64" s="402"/>
      <c r="P64" s="383" t="s">
        <v>247</v>
      </c>
      <c r="Q64" s="287"/>
      <c r="R64" s="370" t="s">
        <v>234</v>
      </c>
      <c r="S64" s="371" t="s">
        <v>79</v>
      </c>
      <c r="T64" s="371" t="s">
        <v>80</v>
      </c>
      <c r="U64" s="372" t="s">
        <v>168</v>
      </c>
      <c r="X64" s="370" t="s">
        <v>234</v>
      </c>
      <c r="Y64" s="371" t="s">
        <v>79</v>
      </c>
      <c r="Z64" s="371" t="s">
        <v>80</v>
      </c>
      <c r="AA64" s="372" t="s">
        <v>168</v>
      </c>
      <c r="AB64" s="368"/>
      <c r="AC64" s="369"/>
      <c r="AE64" s="383" t="s">
        <v>247</v>
      </c>
      <c r="AG64" s="370" t="s">
        <v>234</v>
      </c>
      <c r="AH64" s="371" t="s">
        <v>79</v>
      </c>
      <c r="AI64" s="371" t="s">
        <v>80</v>
      </c>
      <c r="AJ64" s="372" t="s">
        <v>168</v>
      </c>
      <c r="AM64" s="370" t="s">
        <v>234</v>
      </c>
      <c r="AN64" s="371" t="s">
        <v>79</v>
      </c>
      <c r="AO64" s="371" t="s">
        <v>80</v>
      </c>
      <c r="AP64" s="372" t="s">
        <v>168</v>
      </c>
      <c r="AQ64" s="368"/>
      <c r="AR64" s="369"/>
      <c r="AT64" s="383" t="s">
        <v>247</v>
      </c>
      <c r="AV64" s="370" t="s">
        <v>234</v>
      </c>
      <c r="AW64" s="371" t="s">
        <v>79</v>
      </c>
      <c r="AX64" s="371" t="s">
        <v>80</v>
      </c>
      <c r="AY64" s="372" t="s">
        <v>168</v>
      </c>
      <c r="BB64" s="370" t="s">
        <v>234</v>
      </c>
      <c r="BC64" s="371" t="s">
        <v>79</v>
      </c>
      <c r="BD64" s="371" t="s">
        <v>80</v>
      </c>
      <c r="BE64" s="372" t="s">
        <v>168</v>
      </c>
      <c r="BF64" s="368"/>
      <c r="BG64" s="369"/>
    </row>
    <row r="65" spans="1:59">
      <c r="A65" s="367" t="s">
        <v>188</v>
      </c>
      <c r="C65" s="404">
        <f t="shared" ref="C65:E68" si="24">+C5+C25+C45</f>
        <v>15</v>
      </c>
      <c r="D65" s="374">
        <f t="shared" si="24"/>
        <v>17</v>
      </c>
      <c r="E65" s="374">
        <f t="shared" si="24"/>
        <v>-4</v>
      </c>
      <c r="F65" s="375">
        <f>SUM(C65:E65)</f>
        <v>28</v>
      </c>
      <c r="I65" s="373">
        <f t="shared" ref="I65:K68" si="25">+I5+I25+I45</f>
        <v>105</v>
      </c>
      <c r="J65" s="374">
        <f t="shared" si="25"/>
        <v>24</v>
      </c>
      <c r="K65" s="374">
        <f t="shared" si="25"/>
        <v>-7</v>
      </c>
      <c r="L65" s="375">
        <f>+I65+J65-K65</f>
        <v>136</v>
      </c>
      <c r="O65" s="402"/>
      <c r="P65" s="367" t="s">
        <v>188</v>
      </c>
      <c r="Q65" s="287"/>
      <c r="R65" s="404">
        <f t="shared" ref="R65:T68" si="26">+R5+R25+R45</f>
        <v>28</v>
      </c>
      <c r="S65" s="374">
        <f t="shared" si="26"/>
        <v>20</v>
      </c>
      <c r="T65" s="374">
        <f t="shared" si="26"/>
        <v>-6</v>
      </c>
      <c r="U65" s="375">
        <f>SUM(R65:T65)</f>
        <v>42</v>
      </c>
      <c r="X65" s="373">
        <f t="shared" ref="X65:Z68" si="27">+X5+X25+X45</f>
        <v>136</v>
      </c>
      <c r="Y65" s="374">
        <f t="shared" si="27"/>
        <v>20</v>
      </c>
      <c r="Z65" s="374">
        <f t="shared" si="27"/>
        <v>-7</v>
      </c>
      <c r="AA65" s="375">
        <f>+X65+Y65-Z65</f>
        <v>163</v>
      </c>
      <c r="AC65" s="292"/>
      <c r="AE65" s="367" t="s">
        <v>188</v>
      </c>
      <c r="AG65" s="404">
        <f t="shared" ref="AG65:AI68" si="28">+AG5+AG25+AG45</f>
        <v>42</v>
      </c>
      <c r="AH65" s="374">
        <f t="shared" si="28"/>
        <v>27</v>
      </c>
      <c r="AI65" s="374">
        <f t="shared" si="28"/>
        <v>-6</v>
      </c>
      <c r="AJ65" s="375">
        <f>SUM(AG65:AI65)</f>
        <v>63</v>
      </c>
      <c r="AM65" s="373">
        <f t="shared" ref="AM65:AO68" si="29">+AM5+AM25+AM45</f>
        <v>163</v>
      </c>
      <c r="AN65" s="374">
        <f t="shared" si="29"/>
        <v>26</v>
      </c>
      <c r="AO65" s="374">
        <f t="shared" si="29"/>
        <v>-4</v>
      </c>
      <c r="AP65" s="375">
        <f>+AM65+AN65-AO65</f>
        <v>193</v>
      </c>
      <c r="AR65" s="292"/>
      <c r="AT65" s="367" t="s">
        <v>188</v>
      </c>
      <c r="AV65" s="404">
        <f t="shared" ref="AV65:AX68" si="30">+AV5+AV25+AV45</f>
        <v>63</v>
      </c>
      <c r="AW65" s="374">
        <f t="shared" si="30"/>
        <v>29</v>
      </c>
      <c r="AX65" s="374">
        <f t="shared" si="30"/>
        <v>-6</v>
      </c>
      <c r="AY65" s="375">
        <f>SUM(AV65:AX65)</f>
        <v>86</v>
      </c>
      <c r="BB65" s="373">
        <f t="shared" ref="BB65:BD68" si="31">+BB5+BB25+BB45</f>
        <v>193</v>
      </c>
      <c r="BC65" s="374">
        <f t="shared" si="31"/>
        <v>37</v>
      </c>
      <c r="BD65" s="374">
        <f t="shared" si="31"/>
        <v>-4</v>
      </c>
      <c r="BE65" s="375">
        <f>+BB65+BC65-BD65</f>
        <v>234</v>
      </c>
      <c r="BG65" s="292"/>
    </row>
    <row r="66" spans="1:59">
      <c r="A66" s="367" t="s">
        <v>232</v>
      </c>
      <c r="C66" s="376">
        <f t="shared" si="24"/>
        <v>19</v>
      </c>
      <c r="D66" s="377">
        <f t="shared" si="24"/>
        <v>8</v>
      </c>
      <c r="E66" s="377">
        <f t="shared" si="24"/>
        <v>-2</v>
      </c>
      <c r="F66" s="378">
        <f>SUM(C66:E66)</f>
        <v>25</v>
      </c>
      <c r="I66" s="376">
        <f t="shared" si="25"/>
        <v>57</v>
      </c>
      <c r="J66" s="377">
        <f t="shared" si="25"/>
        <v>19</v>
      </c>
      <c r="K66" s="377">
        <f t="shared" si="25"/>
        <v>-3</v>
      </c>
      <c r="L66" s="378">
        <f>+I66+J66-K66</f>
        <v>79</v>
      </c>
      <c r="O66" s="402"/>
      <c r="P66" s="367" t="s">
        <v>232</v>
      </c>
      <c r="Q66" s="287"/>
      <c r="R66" s="376">
        <f t="shared" si="26"/>
        <v>25</v>
      </c>
      <c r="S66" s="377">
        <f t="shared" si="26"/>
        <v>15</v>
      </c>
      <c r="T66" s="377">
        <f t="shared" si="26"/>
        <v>-3</v>
      </c>
      <c r="U66" s="378">
        <f>SUM(R66:T66)</f>
        <v>37</v>
      </c>
      <c r="X66" s="376">
        <f t="shared" si="27"/>
        <v>79</v>
      </c>
      <c r="Y66" s="377">
        <f t="shared" si="27"/>
        <v>30</v>
      </c>
      <c r="Z66" s="377">
        <f t="shared" si="27"/>
        <v>-5</v>
      </c>
      <c r="AA66" s="378">
        <f>+X66+Y66-Z66</f>
        <v>114</v>
      </c>
      <c r="AC66" s="292"/>
      <c r="AE66" s="367" t="s">
        <v>232</v>
      </c>
      <c r="AG66" s="376">
        <f t="shared" si="28"/>
        <v>37</v>
      </c>
      <c r="AH66" s="377">
        <f t="shared" si="28"/>
        <v>14</v>
      </c>
      <c r="AI66" s="377">
        <f t="shared" si="28"/>
        <v>-3</v>
      </c>
      <c r="AJ66" s="378">
        <f>SUM(AG66:AI66)</f>
        <v>48</v>
      </c>
      <c r="AM66" s="376">
        <f t="shared" si="29"/>
        <v>114</v>
      </c>
      <c r="AN66" s="377">
        <f t="shared" si="29"/>
        <v>36</v>
      </c>
      <c r="AO66" s="377">
        <f t="shared" si="29"/>
        <v>-4</v>
      </c>
      <c r="AP66" s="378">
        <f>+AM66+AN66-AO66</f>
        <v>154</v>
      </c>
      <c r="AR66" s="292"/>
      <c r="AT66" s="367" t="s">
        <v>232</v>
      </c>
      <c r="AV66" s="376">
        <f t="shared" si="30"/>
        <v>48</v>
      </c>
      <c r="AW66" s="377">
        <f t="shared" si="30"/>
        <v>23</v>
      </c>
      <c r="AX66" s="377">
        <f t="shared" si="30"/>
        <v>-3</v>
      </c>
      <c r="AY66" s="378">
        <f>SUM(AV66:AX66)</f>
        <v>68</v>
      </c>
      <c r="BB66" s="376">
        <f t="shared" si="31"/>
        <v>154</v>
      </c>
      <c r="BC66" s="377">
        <f t="shared" si="31"/>
        <v>51</v>
      </c>
      <c r="BD66" s="377">
        <f t="shared" si="31"/>
        <v>-4</v>
      </c>
      <c r="BE66" s="378">
        <f>+BB66+BC66-BD66</f>
        <v>209</v>
      </c>
      <c r="BG66" s="292"/>
    </row>
    <row r="67" spans="1:59">
      <c r="A67" s="367" t="s">
        <v>189</v>
      </c>
      <c r="C67" s="376">
        <f t="shared" si="24"/>
        <v>9</v>
      </c>
      <c r="D67" s="377">
        <f t="shared" si="24"/>
        <v>3</v>
      </c>
      <c r="E67" s="377">
        <f t="shared" si="24"/>
        <v>-1</v>
      </c>
      <c r="F67" s="378">
        <f>SUM(C67:E67)</f>
        <v>11</v>
      </c>
      <c r="I67" s="376">
        <f t="shared" si="25"/>
        <v>10</v>
      </c>
      <c r="J67" s="377">
        <f t="shared" si="25"/>
        <v>4</v>
      </c>
      <c r="K67" s="377">
        <f t="shared" si="25"/>
        <v>0</v>
      </c>
      <c r="L67" s="378">
        <f>+I67+J67-K67</f>
        <v>14</v>
      </c>
      <c r="O67" s="402"/>
      <c r="P67" s="367" t="s">
        <v>189</v>
      </c>
      <c r="Q67" s="287"/>
      <c r="R67" s="376">
        <f t="shared" si="26"/>
        <v>11</v>
      </c>
      <c r="S67" s="377">
        <f t="shared" si="26"/>
        <v>6</v>
      </c>
      <c r="T67" s="377">
        <f t="shared" si="26"/>
        <v>-1</v>
      </c>
      <c r="U67" s="378">
        <f>SUM(R67:T67)</f>
        <v>16</v>
      </c>
      <c r="X67" s="376">
        <f t="shared" si="27"/>
        <v>14</v>
      </c>
      <c r="Y67" s="377">
        <f t="shared" si="27"/>
        <v>11</v>
      </c>
      <c r="Z67" s="377">
        <f t="shared" si="27"/>
        <v>0</v>
      </c>
      <c r="AA67" s="378">
        <f>+X67+Y67-Z67</f>
        <v>25</v>
      </c>
      <c r="AC67" s="292"/>
      <c r="AE67" s="367" t="s">
        <v>189</v>
      </c>
      <c r="AG67" s="376">
        <f t="shared" si="28"/>
        <v>16</v>
      </c>
      <c r="AH67" s="377">
        <f t="shared" si="28"/>
        <v>11</v>
      </c>
      <c r="AI67" s="377">
        <f t="shared" si="28"/>
        <v>-1</v>
      </c>
      <c r="AJ67" s="378">
        <f>SUM(AG67:AI67)</f>
        <v>26</v>
      </c>
      <c r="AM67" s="376">
        <f t="shared" si="29"/>
        <v>25</v>
      </c>
      <c r="AN67" s="377">
        <f t="shared" si="29"/>
        <v>11</v>
      </c>
      <c r="AO67" s="377">
        <f t="shared" si="29"/>
        <v>0</v>
      </c>
      <c r="AP67" s="378">
        <f>+AM67+AN67-AO67</f>
        <v>36</v>
      </c>
      <c r="AR67" s="292"/>
      <c r="AT67" s="367" t="s">
        <v>189</v>
      </c>
      <c r="AV67" s="376">
        <f t="shared" si="30"/>
        <v>26</v>
      </c>
      <c r="AW67" s="377">
        <f t="shared" si="30"/>
        <v>14</v>
      </c>
      <c r="AX67" s="377">
        <f t="shared" si="30"/>
        <v>-1</v>
      </c>
      <c r="AY67" s="378">
        <f>SUM(AV67:AX67)</f>
        <v>39</v>
      </c>
      <c r="BB67" s="376">
        <f t="shared" si="31"/>
        <v>36</v>
      </c>
      <c r="BC67" s="377">
        <f t="shared" si="31"/>
        <v>18</v>
      </c>
      <c r="BD67" s="377">
        <f t="shared" si="31"/>
        <v>0</v>
      </c>
      <c r="BE67" s="378">
        <f>+BB67+BC67-BD67</f>
        <v>54</v>
      </c>
      <c r="BG67" s="292"/>
    </row>
    <row r="68" spans="1:59" ht="15.75" thickBot="1">
      <c r="A68" s="367" t="s">
        <v>233</v>
      </c>
      <c r="C68" s="379">
        <f t="shared" si="24"/>
        <v>7</v>
      </c>
      <c r="D68" s="380">
        <f t="shared" si="24"/>
        <v>1</v>
      </c>
      <c r="E68" s="380">
        <f t="shared" si="24"/>
        <v>0</v>
      </c>
      <c r="F68" s="381">
        <f>SUM(C68:E68)</f>
        <v>8</v>
      </c>
      <c r="I68" s="379">
        <f t="shared" si="25"/>
        <v>1</v>
      </c>
      <c r="J68" s="380">
        <f t="shared" si="25"/>
        <v>0</v>
      </c>
      <c r="K68" s="380">
        <f t="shared" si="25"/>
        <v>0</v>
      </c>
      <c r="L68" s="381">
        <f>+I68+J68-K68</f>
        <v>1</v>
      </c>
      <c r="O68" s="402"/>
      <c r="P68" s="367" t="s">
        <v>233</v>
      </c>
      <c r="Q68" s="287"/>
      <c r="R68" s="379">
        <f t="shared" si="26"/>
        <v>8</v>
      </c>
      <c r="S68" s="380">
        <f t="shared" si="26"/>
        <v>3</v>
      </c>
      <c r="T68" s="380">
        <f t="shared" si="26"/>
        <v>0</v>
      </c>
      <c r="U68" s="381">
        <f>SUM(R68:T68)</f>
        <v>11</v>
      </c>
      <c r="X68" s="379">
        <f t="shared" si="27"/>
        <v>1</v>
      </c>
      <c r="Y68" s="380">
        <f t="shared" si="27"/>
        <v>0</v>
      </c>
      <c r="Z68" s="380">
        <f t="shared" si="27"/>
        <v>0</v>
      </c>
      <c r="AA68" s="381">
        <f>+X68+Y68-Z68</f>
        <v>1</v>
      </c>
      <c r="AC68" s="292"/>
      <c r="AE68" s="367" t="s">
        <v>233</v>
      </c>
      <c r="AG68" s="379">
        <f t="shared" si="28"/>
        <v>11</v>
      </c>
      <c r="AH68" s="380">
        <f t="shared" si="28"/>
        <v>3</v>
      </c>
      <c r="AI68" s="380">
        <f t="shared" si="28"/>
        <v>0</v>
      </c>
      <c r="AJ68" s="381">
        <f>SUM(AG68:AI68)</f>
        <v>14</v>
      </c>
      <c r="AM68" s="379">
        <f t="shared" si="29"/>
        <v>1</v>
      </c>
      <c r="AN68" s="380">
        <f t="shared" si="29"/>
        <v>4</v>
      </c>
      <c r="AO68" s="380">
        <f t="shared" si="29"/>
        <v>0</v>
      </c>
      <c r="AP68" s="381">
        <f>+AM68+AN68-AO68</f>
        <v>5</v>
      </c>
      <c r="AR68" s="292"/>
      <c r="AT68" s="367" t="s">
        <v>233</v>
      </c>
      <c r="AV68" s="379">
        <f t="shared" si="30"/>
        <v>14</v>
      </c>
      <c r="AW68" s="380">
        <f t="shared" si="30"/>
        <v>3</v>
      </c>
      <c r="AX68" s="380">
        <f t="shared" si="30"/>
        <v>0</v>
      </c>
      <c r="AY68" s="381">
        <f>SUM(AV68:AX68)</f>
        <v>17</v>
      </c>
      <c r="BB68" s="379">
        <f t="shared" si="31"/>
        <v>5</v>
      </c>
      <c r="BC68" s="380">
        <f t="shared" si="31"/>
        <v>4</v>
      </c>
      <c r="BD68" s="380">
        <f t="shared" si="31"/>
        <v>0</v>
      </c>
      <c r="BE68" s="381">
        <f>+BB68+BC68-BD68</f>
        <v>9</v>
      </c>
      <c r="BG68" s="292"/>
    </row>
    <row r="69" spans="1:59" ht="15.75" thickBot="1">
      <c r="A69" s="367" t="s">
        <v>23</v>
      </c>
      <c r="C69" s="379">
        <f>SUM(C65:C68)</f>
        <v>50</v>
      </c>
      <c r="D69" s="380">
        <f>SUM(D65:D68)</f>
        <v>29</v>
      </c>
      <c r="E69" s="380">
        <f>SUM(E65:E68)</f>
        <v>-7</v>
      </c>
      <c r="F69" s="381">
        <f>SUM(F65:F68)</f>
        <v>72</v>
      </c>
      <c r="I69" s="379">
        <f>SUM(I65:I68)</f>
        <v>173</v>
      </c>
      <c r="J69" s="380">
        <f>SUM(J65:J68)</f>
        <v>47</v>
      </c>
      <c r="K69" s="380">
        <f>SUM(K65:K68)</f>
        <v>-10</v>
      </c>
      <c r="L69" s="381">
        <f>SUM(L65:L68)</f>
        <v>230</v>
      </c>
      <c r="O69" s="402"/>
      <c r="P69" s="367" t="s">
        <v>23</v>
      </c>
      <c r="Q69" s="287"/>
      <c r="R69" s="379">
        <f>SUM(R65:R68)</f>
        <v>72</v>
      </c>
      <c r="S69" s="380">
        <f>SUM(S65:S68)</f>
        <v>44</v>
      </c>
      <c r="T69" s="380">
        <f>SUM(T65:T68)</f>
        <v>-10</v>
      </c>
      <c r="U69" s="381">
        <f>SUM(U65:U68)</f>
        <v>106</v>
      </c>
      <c r="X69" s="379">
        <f>SUM(X65:X68)</f>
        <v>230</v>
      </c>
      <c r="Y69" s="380">
        <f>SUM(Y65:Y68)</f>
        <v>61</v>
      </c>
      <c r="Z69" s="380">
        <f>SUM(Z65:Z68)</f>
        <v>-12</v>
      </c>
      <c r="AA69" s="381">
        <f>SUM(AA65:AA68)</f>
        <v>303</v>
      </c>
      <c r="AC69" s="292"/>
      <c r="AE69" s="367" t="s">
        <v>23</v>
      </c>
      <c r="AG69" s="379">
        <f>SUM(AG65:AG68)</f>
        <v>106</v>
      </c>
      <c r="AH69" s="380">
        <f>SUM(AH65:AH68)</f>
        <v>55</v>
      </c>
      <c r="AI69" s="380">
        <f>SUM(AI65:AI68)</f>
        <v>-10</v>
      </c>
      <c r="AJ69" s="381">
        <f>SUM(AJ65:AJ68)</f>
        <v>151</v>
      </c>
      <c r="AM69" s="379">
        <f>SUM(AM65:AM68)</f>
        <v>303</v>
      </c>
      <c r="AN69" s="380">
        <f>SUM(AN65:AN68)</f>
        <v>77</v>
      </c>
      <c r="AO69" s="380">
        <f>SUM(AO65:AO68)</f>
        <v>-8</v>
      </c>
      <c r="AP69" s="381">
        <f>SUM(AP65:AP68)</f>
        <v>388</v>
      </c>
      <c r="AR69" s="292"/>
      <c r="AT69" s="367" t="s">
        <v>23</v>
      </c>
      <c r="AV69" s="379">
        <f>SUM(AV65:AV68)</f>
        <v>151</v>
      </c>
      <c r="AW69" s="380">
        <f>SUM(AW65:AW68)</f>
        <v>69</v>
      </c>
      <c r="AX69" s="380">
        <f>SUM(AX65:AX68)</f>
        <v>-10</v>
      </c>
      <c r="AY69" s="381">
        <f>SUM(AY65:AY68)</f>
        <v>210</v>
      </c>
      <c r="BB69" s="379">
        <f>SUM(BB65:BB68)</f>
        <v>388</v>
      </c>
      <c r="BC69" s="380">
        <f>SUM(BC65:BC68)</f>
        <v>110</v>
      </c>
      <c r="BD69" s="380">
        <f>SUM(BD65:BD68)</f>
        <v>-8</v>
      </c>
      <c r="BE69" s="381">
        <f>SUM(BE65:BE68)</f>
        <v>506</v>
      </c>
      <c r="BG69" s="292"/>
    </row>
    <row r="70" spans="1:59">
      <c r="O70" s="402"/>
      <c r="P70" s="287"/>
      <c r="Q70" s="287"/>
      <c r="AC70" s="292"/>
      <c r="AR70" s="292"/>
      <c r="BG70" s="292"/>
    </row>
    <row r="71" spans="1:59" ht="15.75" thickBot="1">
      <c r="O71" s="402"/>
      <c r="P71" s="287"/>
      <c r="Q71" s="287"/>
      <c r="AC71" s="292"/>
      <c r="AR71" s="292"/>
      <c r="BG71" s="292"/>
    </row>
    <row r="72" spans="1:59" ht="15.75" thickBot="1">
      <c r="C72" s="871" t="s">
        <v>240</v>
      </c>
      <c r="D72" s="872"/>
      <c r="E72" s="872"/>
      <c r="F72" s="873"/>
      <c r="I72" s="868" t="s">
        <v>238</v>
      </c>
      <c r="J72" s="869"/>
      <c r="K72" s="869"/>
      <c r="L72" s="870"/>
      <c r="N72" s="400" t="s">
        <v>242</v>
      </c>
      <c r="O72" s="402"/>
      <c r="P72" s="287"/>
      <c r="Q72" s="287"/>
      <c r="R72" s="871" t="s">
        <v>240</v>
      </c>
      <c r="S72" s="872"/>
      <c r="T72" s="872"/>
      <c r="U72" s="873"/>
      <c r="X72" s="868" t="s">
        <v>238</v>
      </c>
      <c r="Y72" s="869"/>
      <c r="Z72" s="869"/>
      <c r="AA72" s="870"/>
      <c r="AC72" s="400" t="s">
        <v>242</v>
      </c>
      <c r="AG72" s="871" t="s">
        <v>240</v>
      </c>
      <c r="AH72" s="872"/>
      <c r="AI72" s="872"/>
      <c r="AJ72" s="873"/>
      <c r="AM72" s="868" t="s">
        <v>238</v>
      </c>
      <c r="AN72" s="869"/>
      <c r="AO72" s="869"/>
      <c r="AP72" s="870"/>
      <c r="AR72" s="400" t="s">
        <v>242</v>
      </c>
      <c r="AV72" s="871" t="s">
        <v>240</v>
      </c>
      <c r="AW72" s="872"/>
      <c r="AX72" s="872"/>
      <c r="AY72" s="873"/>
      <c r="BB72" s="868" t="s">
        <v>238</v>
      </c>
      <c r="BC72" s="869"/>
      <c r="BD72" s="869"/>
      <c r="BE72" s="870"/>
      <c r="BG72" s="400" t="s">
        <v>242</v>
      </c>
    </row>
    <row r="73" spans="1:59" ht="30.75" thickBot="1">
      <c r="A73" s="403" t="s">
        <v>241</v>
      </c>
      <c r="C73" s="370" t="s">
        <v>234</v>
      </c>
      <c r="D73" s="371" t="s">
        <v>79</v>
      </c>
      <c r="E73" s="371" t="s">
        <v>80</v>
      </c>
      <c r="F73" s="372" t="s">
        <v>168</v>
      </c>
      <c r="I73" s="370" t="s">
        <v>234</v>
      </c>
      <c r="J73" s="371" t="s">
        <v>79</v>
      </c>
      <c r="K73" s="371" t="s">
        <v>80</v>
      </c>
      <c r="L73" s="372" t="s">
        <v>168</v>
      </c>
      <c r="N73" s="423" t="s">
        <v>11</v>
      </c>
      <c r="O73" s="402"/>
      <c r="P73" s="403" t="s">
        <v>241</v>
      </c>
      <c r="Q73" s="287"/>
      <c r="R73" s="370" t="s">
        <v>234</v>
      </c>
      <c r="S73" s="371" t="s">
        <v>79</v>
      </c>
      <c r="T73" s="371" t="s">
        <v>80</v>
      </c>
      <c r="U73" s="372" t="s">
        <v>168</v>
      </c>
      <c r="X73" s="370" t="s">
        <v>234</v>
      </c>
      <c r="Y73" s="371" t="s">
        <v>79</v>
      </c>
      <c r="Z73" s="371" t="s">
        <v>80</v>
      </c>
      <c r="AA73" s="372" t="s">
        <v>168</v>
      </c>
      <c r="AC73" s="423" t="s">
        <v>12</v>
      </c>
      <c r="AE73" s="403" t="s">
        <v>241</v>
      </c>
      <c r="AG73" s="370" t="s">
        <v>234</v>
      </c>
      <c r="AH73" s="371" t="s">
        <v>79</v>
      </c>
      <c r="AI73" s="371" t="s">
        <v>80</v>
      </c>
      <c r="AJ73" s="372" t="s">
        <v>168</v>
      </c>
      <c r="AM73" s="370" t="s">
        <v>234</v>
      </c>
      <c r="AN73" s="371" t="s">
        <v>79</v>
      </c>
      <c r="AO73" s="371" t="s">
        <v>80</v>
      </c>
      <c r="AP73" s="372" t="s">
        <v>168</v>
      </c>
      <c r="AR73" s="423" t="s">
        <v>13</v>
      </c>
      <c r="AT73" s="403" t="s">
        <v>241</v>
      </c>
      <c r="AV73" s="370" t="s">
        <v>234</v>
      </c>
      <c r="AW73" s="371" t="s">
        <v>79</v>
      </c>
      <c r="AX73" s="371" t="s">
        <v>80</v>
      </c>
      <c r="AY73" s="372" t="s">
        <v>168</v>
      </c>
      <c r="BB73" s="370" t="s">
        <v>234</v>
      </c>
      <c r="BC73" s="371" t="s">
        <v>79</v>
      </c>
      <c r="BD73" s="371" t="s">
        <v>80</v>
      </c>
      <c r="BE73" s="372" t="s">
        <v>168</v>
      </c>
      <c r="BG73" s="423" t="s">
        <v>14</v>
      </c>
    </row>
    <row r="74" spans="1:59">
      <c r="A74" s="367" t="s">
        <v>188</v>
      </c>
      <c r="C74" s="388">
        <f t="shared" ref="C74:E77" si="32">+C14+C34+C54</f>
        <v>55.500000000000007</v>
      </c>
      <c r="D74" s="389">
        <f t="shared" si="32"/>
        <v>57.5</v>
      </c>
      <c r="E74" s="389">
        <f t="shared" si="32"/>
        <v>-38</v>
      </c>
      <c r="F74" s="390">
        <f>+C74+D74-E74</f>
        <v>151</v>
      </c>
      <c r="G74" s="292"/>
      <c r="H74" s="292"/>
      <c r="I74" s="388">
        <f t="shared" ref="I74:K77" si="33">+I14+I34+I54</f>
        <v>241.5</v>
      </c>
      <c r="J74" s="389">
        <f t="shared" si="33"/>
        <v>68.699999999999989</v>
      </c>
      <c r="K74" s="389">
        <f t="shared" si="33"/>
        <v>-728</v>
      </c>
      <c r="L74" s="390">
        <f>+I74+J74-K74</f>
        <v>1038.2</v>
      </c>
      <c r="N74" s="398">
        <f>(L74+F74)</f>
        <v>1189.2</v>
      </c>
      <c r="O74" s="402"/>
      <c r="P74" s="367" t="s">
        <v>188</v>
      </c>
      <c r="Q74" s="287"/>
      <c r="R74" s="388">
        <f t="shared" ref="R74:T77" si="34">+R14+R34+R54</f>
        <v>107.744</v>
      </c>
      <c r="S74" s="389">
        <f t="shared" si="34"/>
        <v>76.960000000000008</v>
      </c>
      <c r="T74" s="389">
        <f t="shared" si="34"/>
        <v>-123</v>
      </c>
      <c r="U74" s="390">
        <f>+R74+S74-T74</f>
        <v>307.70400000000001</v>
      </c>
      <c r="V74" s="292"/>
      <c r="W74" s="292"/>
      <c r="X74" s="388">
        <f t="shared" ref="X74:Z77" si="35">+X14+X34+X54</f>
        <v>344.07999999999993</v>
      </c>
      <c r="Y74" s="389">
        <f t="shared" si="35"/>
        <v>50.599999999999994</v>
      </c>
      <c r="Z74" s="389">
        <f t="shared" si="35"/>
        <v>-896</v>
      </c>
      <c r="AA74" s="390">
        <f>+X74+Y74-Z74</f>
        <v>1290.6799999999998</v>
      </c>
      <c r="AC74" s="398">
        <f>(AA74+U74)</f>
        <v>1598.3839999999998</v>
      </c>
      <c r="AE74" s="367" t="s">
        <v>188</v>
      </c>
      <c r="AG74" s="388">
        <f t="shared" ref="AG74:AI77" si="36">+AG14+AG34+AG54</f>
        <v>169.69680000000005</v>
      </c>
      <c r="AH74" s="389">
        <f t="shared" si="36"/>
        <v>109.09080000000003</v>
      </c>
      <c r="AI74" s="389">
        <f t="shared" si="36"/>
        <v>-177</v>
      </c>
      <c r="AJ74" s="390">
        <f>+AG74+AH74-AI74</f>
        <v>455.78760000000011</v>
      </c>
      <c r="AK74" s="292"/>
      <c r="AL74" s="292"/>
      <c r="AM74" s="388">
        <f t="shared" ref="AM74:AO77" si="37">+AM14+AM34+AM54</f>
        <v>453.62899999999996</v>
      </c>
      <c r="AN74" s="389">
        <f t="shared" si="37"/>
        <v>72.358000000000004</v>
      </c>
      <c r="AO74" s="389">
        <f t="shared" si="37"/>
        <v>-608</v>
      </c>
      <c r="AP74" s="390">
        <f>+AM74+AN74-AO74</f>
        <v>1133.9870000000001</v>
      </c>
      <c r="AR74" s="398">
        <f>(AP74+AJ74)</f>
        <v>1589.7746000000002</v>
      </c>
      <c r="AT74" s="367" t="s">
        <v>188</v>
      </c>
      <c r="AV74" s="388">
        <f t="shared" ref="AV74:AX77" si="38">+AV14+AV34+AV54</f>
        <v>279.99972000000008</v>
      </c>
      <c r="AW74" s="389">
        <f t="shared" si="38"/>
        <v>128.88876000000005</v>
      </c>
      <c r="AX74" s="389">
        <f t="shared" si="38"/>
        <v>-232</v>
      </c>
      <c r="AY74" s="390">
        <f>+AV74+AW74-AX74</f>
        <v>640.88848000000007</v>
      </c>
      <c r="AZ74" s="292"/>
      <c r="BA74" s="292"/>
      <c r="BB74" s="388">
        <f t="shared" ref="BB74:BD77" si="39">+BB14+BB34+BB54</f>
        <v>617.68684999999994</v>
      </c>
      <c r="BC74" s="389">
        <f t="shared" si="39"/>
        <v>118.41664999999998</v>
      </c>
      <c r="BD74" s="389">
        <f t="shared" si="39"/>
        <v>-704</v>
      </c>
      <c r="BE74" s="390">
        <f>+BB74+BC74-BD74</f>
        <v>1440.1034999999999</v>
      </c>
      <c r="BG74" s="398">
        <f>(BE74+AY74)</f>
        <v>2080.9919799999998</v>
      </c>
    </row>
    <row r="75" spans="1:59">
      <c r="A75" s="367" t="s">
        <v>232</v>
      </c>
      <c r="C75" s="391">
        <f t="shared" si="32"/>
        <v>837.9</v>
      </c>
      <c r="D75" s="392">
        <f t="shared" si="32"/>
        <v>310.7</v>
      </c>
      <c r="E75" s="392">
        <f t="shared" si="32"/>
        <v>-38</v>
      </c>
      <c r="F75" s="393">
        <f>+C75+D75-E75</f>
        <v>1186.5999999999999</v>
      </c>
      <c r="G75" s="292"/>
      <c r="H75" s="292"/>
      <c r="I75" s="391">
        <f t="shared" si="33"/>
        <v>1573.2</v>
      </c>
      <c r="J75" s="392">
        <f t="shared" si="33"/>
        <v>524.4</v>
      </c>
      <c r="K75" s="392">
        <f t="shared" si="33"/>
        <v>-171</v>
      </c>
      <c r="L75" s="393">
        <f>+I75+J75-K75</f>
        <v>2268.6</v>
      </c>
      <c r="N75" s="399">
        <f>(L75+F75)</f>
        <v>3455.2</v>
      </c>
      <c r="O75" s="402"/>
      <c r="P75" s="367" t="s">
        <v>232</v>
      </c>
      <c r="Q75" s="287"/>
      <c r="R75" s="391">
        <f t="shared" si="34"/>
        <v>1146.6000000000001</v>
      </c>
      <c r="S75" s="392">
        <f t="shared" si="34"/>
        <v>687.96</v>
      </c>
      <c r="T75" s="392">
        <f t="shared" si="34"/>
        <v>-72</v>
      </c>
      <c r="U75" s="393">
        <f>+R75+S75-T75</f>
        <v>1906.5600000000002</v>
      </c>
      <c r="V75" s="292"/>
      <c r="W75" s="292"/>
      <c r="X75" s="391">
        <f t="shared" si="35"/>
        <v>2398.4399999999996</v>
      </c>
      <c r="Y75" s="392">
        <f t="shared" si="35"/>
        <v>910.8</v>
      </c>
      <c r="Z75" s="392">
        <f t="shared" si="35"/>
        <v>-375</v>
      </c>
      <c r="AA75" s="393">
        <f>+X75+Y75-Z75</f>
        <v>3684.24</v>
      </c>
      <c r="AC75" s="399">
        <f>(AA75+U75)</f>
        <v>5590.8</v>
      </c>
      <c r="AE75" s="367" t="s">
        <v>232</v>
      </c>
      <c r="AG75" s="391">
        <f t="shared" si="36"/>
        <v>1781.8164000000002</v>
      </c>
      <c r="AH75" s="392">
        <f t="shared" si="36"/>
        <v>674.20079999999996</v>
      </c>
      <c r="AI75" s="392">
        <f t="shared" si="36"/>
        <v>-93</v>
      </c>
      <c r="AJ75" s="393">
        <f>+AG75+AH75-AI75</f>
        <v>2549.0172000000002</v>
      </c>
      <c r="AK75" s="292"/>
      <c r="AL75" s="292"/>
      <c r="AM75" s="391">
        <f t="shared" si="37"/>
        <v>3807.1440000000007</v>
      </c>
      <c r="AN75" s="392">
        <f t="shared" si="37"/>
        <v>1202.2560000000003</v>
      </c>
      <c r="AO75" s="392">
        <f t="shared" si="37"/>
        <v>-400</v>
      </c>
      <c r="AP75" s="393">
        <f>+AM75+AN75-AO75</f>
        <v>5409.4000000000015</v>
      </c>
      <c r="AR75" s="399">
        <f>(AP75+AJ75)</f>
        <v>7958.4172000000017</v>
      </c>
      <c r="AT75" s="367" t="s">
        <v>232</v>
      </c>
      <c r="AV75" s="391">
        <f t="shared" si="38"/>
        <v>2542.7001600000003</v>
      </c>
      <c r="AW75" s="392">
        <f t="shared" si="38"/>
        <v>1218.3771600000002</v>
      </c>
      <c r="AX75" s="392">
        <f t="shared" si="38"/>
        <v>-114</v>
      </c>
      <c r="AY75" s="393">
        <f>+AV75+AW75-AX75</f>
        <v>3875.0773200000003</v>
      </c>
      <c r="AZ75" s="292"/>
      <c r="BA75" s="292"/>
      <c r="BB75" s="391">
        <f t="shared" si="39"/>
        <v>5914.4316000000008</v>
      </c>
      <c r="BC75" s="392">
        <f t="shared" si="39"/>
        <v>1958.6754000000005</v>
      </c>
      <c r="BD75" s="392">
        <f t="shared" si="39"/>
        <v>-516</v>
      </c>
      <c r="BE75" s="393">
        <f>+BB75+BC75-BD75</f>
        <v>8389.1070000000018</v>
      </c>
      <c r="BG75" s="399">
        <f>(BE75+AY75)</f>
        <v>12264.184320000002</v>
      </c>
    </row>
    <row r="76" spans="1:59">
      <c r="A76" s="367" t="s">
        <v>189</v>
      </c>
      <c r="C76" s="391">
        <f t="shared" si="32"/>
        <v>1977.3</v>
      </c>
      <c r="D76" s="392">
        <f t="shared" si="32"/>
        <v>659.09999999999991</v>
      </c>
      <c r="E76" s="392">
        <f t="shared" si="32"/>
        <v>-9</v>
      </c>
      <c r="F76" s="393">
        <f>+C76+D76-E76</f>
        <v>2645.3999999999996</v>
      </c>
      <c r="G76" s="292"/>
      <c r="H76" s="292"/>
      <c r="I76" s="391">
        <f t="shared" si="33"/>
        <v>1987</v>
      </c>
      <c r="J76" s="392">
        <f t="shared" si="33"/>
        <v>794.8</v>
      </c>
      <c r="K76" s="392">
        <f t="shared" si="33"/>
        <v>0</v>
      </c>
      <c r="L76" s="393">
        <f>+I76+J76-K76</f>
        <v>2781.8</v>
      </c>
      <c r="N76" s="399">
        <f>(L76+F76)</f>
        <v>5427.2</v>
      </c>
      <c r="O76" s="402"/>
      <c r="P76" s="367" t="s">
        <v>189</v>
      </c>
      <c r="Q76" s="287"/>
      <c r="R76" s="391">
        <f t="shared" si="34"/>
        <v>2513.3679999999999</v>
      </c>
      <c r="S76" s="392">
        <f t="shared" si="34"/>
        <v>1370.9279999999999</v>
      </c>
      <c r="T76" s="392">
        <f t="shared" si="34"/>
        <v>-11</v>
      </c>
      <c r="U76" s="393">
        <f>+R76+S76-T76</f>
        <v>3895.2959999999998</v>
      </c>
      <c r="V76" s="292"/>
      <c r="W76" s="292"/>
      <c r="X76" s="391">
        <f t="shared" si="35"/>
        <v>3059.98</v>
      </c>
      <c r="Y76" s="392">
        <f t="shared" si="35"/>
        <v>2404.27</v>
      </c>
      <c r="Z76" s="392">
        <f t="shared" si="35"/>
        <v>0</v>
      </c>
      <c r="AA76" s="393">
        <f>+X76+Y76-Z76</f>
        <v>5464.25</v>
      </c>
      <c r="AC76" s="399">
        <f>(AA76+U76)</f>
        <v>9359.5460000000003</v>
      </c>
      <c r="AE76" s="367" t="s">
        <v>189</v>
      </c>
      <c r="AG76" s="391">
        <f t="shared" si="36"/>
        <v>3838.5984000000003</v>
      </c>
      <c r="AH76" s="392">
        <f t="shared" si="36"/>
        <v>2639.0364</v>
      </c>
      <c r="AI76" s="392">
        <f t="shared" si="36"/>
        <v>-16</v>
      </c>
      <c r="AJ76" s="393">
        <f>+AG76+AH76-AI76</f>
        <v>6493.6347999999998</v>
      </c>
      <c r="AK76" s="292"/>
      <c r="AL76" s="292"/>
      <c r="AM76" s="391">
        <f t="shared" si="37"/>
        <v>6010.6750000000011</v>
      </c>
      <c r="AN76" s="392">
        <f t="shared" si="37"/>
        <v>2644.6970000000001</v>
      </c>
      <c r="AO76" s="392">
        <f t="shared" si="37"/>
        <v>0</v>
      </c>
      <c r="AP76" s="393">
        <f>+AM76+AN76-AO76</f>
        <v>8655.3720000000012</v>
      </c>
      <c r="AR76" s="399">
        <f>(AP76+AJ76)</f>
        <v>15149.006800000001</v>
      </c>
      <c r="AT76" s="367" t="s">
        <v>189</v>
      </c>
      <c r="AV76" s="391">
        <f t="shared" si="38"/>
        <v>6861.4946400000017</v>
      </c>
      <c r="AW76" s="392">
        <f t="shared" si="38"/>
        <v>3694.6509600000004</v>
      </c>
      <c r="AX76" s="392">
        <f t="shared" si="38"/>
        <v>-23</v>
      </c>
      <c r="AY76" s="393">
        <f>+AV76+AW76-AX76</f>
        <v>10579.145600000002</v>
      </c>
      <c r="AZ76" s="292"/>
      <c r="BA76" s="292"/>
      <c r="BB76" s="391">
        <f t="shared" si="39"/>
        <v>9953.6778000000013</v>
      </c>
      <c r="BC76" s="392">
        <f t="shared" si="39"/>
        <v>4976.8389000000006</v>
      </c>
      <c r="BD76" s="392">
        <f t="shared" si="39"/>
        <v>0</v>
      </c>
      <c r="BE76" s="393">
        <f>+BB76+BC76-BD76</f>
        <v>14930.516700000002</v>
      </c>
      <c r="BG76" s="399">
        <f>(BE76+AY76)</f>
        <v>25509.662300000004</v>
      </c>
    </row>
    <row r="77" spans="1:59" ht="15.75" thickBot="1">
      <c r="A77" s="367" t="s">
        <v>233</v>
      </c>
      <c r="C77" s="394">
        <f t="shared" si="32"/>
        <v>7595</v>
      </c>
      <c r="D77" s="395">
        <f t="shared" si="32"/>
        <v>1085</v>
      </c>
      <c r="E77" s="395">
        <f t="shared" si="32"/>
        <v>0</v>
      </c>
      <c r="F77" s="396">
        <f>+C77+D77-E77</f>
        <v>8680</v>
      </c>
      <c r="G77" s="292"/>
      <c r="H77" s="292"/>
      <c r="I77" s="394">
        <f t="shared" si="33"/>
        <v>880</v>
      </c>
      <c r="J77" s="395">
        <f t="shared" si="33"/>
        <v>0</v>
      </c>
      <c r="K77" s="395">
        <f t="shared" si="33"/>
        <v>0</v>
      </c>
      <c r="L77" s="396">
        <f>+I77+J77-K77</f>
        <v>880</v>
      </c>
      <c r="N77" s="399">
        <f>(L77+F77)</f>
        <v>9560</v>
      </c>
      <c r="O77" s="402"/>
      <c r="P77" s="367" t="s">
        <v>233</v>
      </c>
      <c r="Q77" s="287"/>
      <c r="R77" s="394">
        <f t="shared" si="34"/>
        <v>9027.2000000000007</v>
      </c>
      <c r="S77" s="395">
        <f t="shared" si="34"/>
        <v>3385.2000000000003</v>
      </c>
      <c r="T77" s="395">
        <f t="shared" si="34"/>
        <v>0</v>
      </c>
      <c r="U77" s="396">
        <f>+R77+S77-T77</f>
        <v>12412.400000000001</v>
      </c>
      <c r="V77" s="292"/>
      <c r="W77" s="292"/>
      <c r="X77" s="394">
        <f t="shared" si="35"/>
        <v>968.00000000000011</v>
      </c>
      <c r="Y77" s="395">
        <f t="shared" si="35"/>
        <v>0</v>
      </c>
      <c r="Z77" s="395">
        <f t="shared" si="35"/>
        <v>0</v>
      </c>
      <c r="AA77" s="396">
        <f>+X77+Y77-Z77</f>
        <v>968.00000000000011</v>
      </c>
      <c r="AC77" s="399">
        <f>(AA77+U77)</f>
        <v>13380.400000000001</v>
      </c>
      <c r="AE77" s="367" t="s">
        <v>233</v>
      </c>
      <c r="AG77" s="394">
        <f t="shared" si="36"/>
        <v>13033.020000000002</v>
      </c>
      <c r="AH77" s="395">
        <f t="shared" si="36"/>
        <v>3554.4600000000005</v>
      </c>
      <c r="AI77" s="395">
        <f t="shared" si="36"/>
        <v>0</v>
      </c>
      <c r="AJ77" s="396">
        <f>+AG77+AH77-AI77</f>
        <v>16587.480000000003</v>
      </c>
      <c r="AK77" s="292"/>
      <c r="AL77" s="292"/>
      <c r="AM77" s="394">
        <f t="shared" si="37"/>
        <v>1064.8000000000002</v>
      </c>
      <c r="AN77" s="395">
        <f t="shared" si="37"/>
        <v>4259.2000000000007</v>
      </c>
      <c r="AO77" s="395">
        <f t="shared" si="37"/>
        <v>0</v>
      </c>
      <c r="AP77" s="396">
        <f>+AM77+AN77-AO77</f>
        <v>5324.0000000000009</v>
      </c>
      <c r="AR77" s="399">
        <f>(AP77+AJ77)</f>
        <v>21911.480000000003</v>
      </c>
      <c r="AT77" s="367" t="s">
        <v>233</v>
      </c>
      <c r="AV77" s="394">
        <f t="shared" si="38"/>
        <v>18246.228000000006</v>
      </c>
      <c r="AW77" s="395">
        <f t="shared" si="38"/>
        <v>3909.9060000000009</v>
      </c>
      <c r="AX77" s="395">
        <f t="shared" si="38"/>
        <v>0</v>
      </c>
      <c r="AY77" s="396">
        <f>+AV77+AW77-AX77</f>
        <v>22156.134000000005</v>
      </c>
      <c r="AZ77" s="292"/>
      <c r="BA77" s="292"/>
      <c r="BB77" s="394">
        <f t="shared" si="39"/>
        <v>6122.6000000000013</v>
      </c>
      <c r="BC77" s="395">
        <f t="shared" si="39"/>
        <v>4898.0800000000008</v>
      </c>
      <c r="BD77" s="395">
        <f t="shared" si="39"/>
        <v>0</v>
      </c>
      <c r="BE77" s="396">
        <f>+BB77+BC77-BD77</f>
        <v>11020.680000000002</v>
      </c>
      <c r="BG77" s="399">
        <f>(BE77+AY77)</f>
        <v>33176.814000000006</v>
      </c>
    </row>
    <row r="78" spans="1:59" ht="15.75" thickBot="1">
      <c r="A78" s="367" t="s">
        <v>23</v>
      </c>
      <c r="C78" s="394">
        <f>SUM(C74:C77)</f>
        <v>10465.700000000001</v>
      </c>
      <c r="D78" s="395">
        <f>SUM(D74:D77)</f>
        <v>2112.3000000000002</v>
      </c>
      <c r="E78" s="395">
        <f>SUM(E74:E77)</f>
        <v>-85</v>
      </c>
      <c r="F78" s="396">
        <f>SUM(F74:F77)</f>
        <v>12663</v>
      </c>
      <c r="G78" s="292"/>
      <c r="H78" s="292"/>
      <c r="I78" s="394">
        <f>SUM(I74:I77)</f>
        <v>4681.7</v>
      </c>
      <c r="J78" s="395">
        <f>SUM(J74:J77)</f>
        <v>1387.8999999999999</v>
      </c>
      <c r="K78" s="395">
        <f>SUM(K74:K77)</f>
        <v>-899</v>
      </c>
      <c r="L78" s="396">
        <f>SUM(L74:L77)</f>
        <v>6968.6</v>
      </c>
      <c r="N78" s="397">
        <f>SUM(N74:N77)</f>
        <v>19631.599999999999</v>
      </c>
      <c r="O78" s="402"/>
      <c r="P78" s="367" t="s">
        <v>23</v>
      </c>
      <c r="Q78" s="287"/>
      <c r="R78" s="394">
        <f>SUM(R74:R77)</f>
        <v>12794.912</v>
      </c>
      <c r="S78" s="395">
        <f>SUM(S74:S77)</f>
        <v>5521.0480000000007</v>
      </c>
      <c r="T78" s="395">
        <f>SUM(T74:T77)</f>
        <v>-206</v>
      </c>
      <c r="U78" s="396">
        <f>SUM(U74:U77)</f>
        <v>18521.96</v>
      </c>
      <c r="V78" s="292"/>
      <c r="W78" s="292"/>
      <c r="X78" s="394">
        <f>SUM(X74:X77)</f>
        <v>6770.5</v>
      </c>
      <c r="Y78" s="395">
        <f>SUM(Y74:Y77)</f>
        <v>3365.67</v>
      </c>
      <c r="Z78" s="395">
        <f>SUM(Z74:Z77)</f>
        <v>-1271</v>
      </c>
      <c r="AA78" s="396">
        <f>SUM(AA74:AA77)</f>
        <v>11407.17</v>
      </c>
      <c r="AC78" s="397">
        <f>SUM(AC74:AC77)</f>
        <v>29929.13</v>
      </c>
      <c r="AE78" s="367" t="s">
        <v>23</v>
      </c>
      <c r="AG78" s="394">
        <f>SUM(AG74:AG77)</f>
        <v>18823.131600000001</v>
      </c>
      <c r="AH78" s="395">
        <f>SUM(AH74:AH77)</f>
        <v>6976.7880000000005</v>
      </c>
      <c r="AI78" s="395">
        <f>SUM(AI74:AI77)</f>
        <v>-286</v>
      </c>
      <c r="AJ78" s="396">
        <f>SUM(AJ74:AJ77)</f>
        <v>26085.919600000001</v>
      </c>
      <c r="AK78" s="292"/>
      <c r="AL78" s="292"/>
      <c r="AM78" s="394">
        <f>SUM(AM74:AM77)</f>
        <v>11336.248000000003</v>
      </c>
      <c r="AN78" s="395">
        <f>SUM(AN74:AN77)</f>
        <v>8178.5110000000013</v>
      </c>
      <c r="AO78" s="395">
        <f>SUM(AO74:AO77)</f>
        <v>-1008</v>
      </c>
      <c r="AP78" s="396">
        <f>SUM(AP74:AP77)</f>
        <v>20522.759000000002</v>
      </c>
      <c r="AR78" s="397">
        <f>SUM(AR74:AR77)</f>
        <v>46608.678600000007</v>
      </c>
      <c r="AT78" s="367" t="s">
        <v>23</v>
      </c>
      <c r="AV78" s="394">
        <f>SUM(AV74:AV77)</f>
        <v>27930.422520000007</v>
      </c>
      <c r="AW78" s="395">
        <f>SUM(AW74:AW77)</f>
        <v>8951.8228800000015</v>
      </c>
      <c r="AX78" s="395">
        <f>SUM(AX74:AX77)</f>
        <v>-369</v>
      </c>
      <c r="AY78" s="396">
        <f>SUM(AY74:AY77)</f>
        <v>37251.245400000007</v>
      </c>
      <c r="AZ78" s="292"/>
      <c r="BA78" s="292"/>
      <c r="BB78" s="394">
        <f>SUM(BB74:BB77)</f>
        <v>22608.396250000005</v>
      </c>
      <c r="BC78" s="395">
        <f>SUM(BC74:BC77)</f>
        <v>11952.010950000004</v>
      </c>
      <c r="BD78" s="395">
        <f>SUM(BD74:BD77)</f>
        <v>-1220</v>
      </c>
      <c r="BE78" s="396">
        <f>SUM(BE74:BE77)</f>
        <v>35780.407200000001</v>
      </c>
      <c r="BG78" s="397">
        <f>SUM(BG74:BG77)</f>
        <v>73031.652600000001</v>
      </c>
    </row>
    <row r="79" spans="1:59">
      <c r="O79" s="402"/>
      <c r="P79" s="287"/>
      <c r="Q79" s="287"/>
      <c r="AC79" s="292"/>
      <c r="AR79" s="292"/>
      <c r="BG79" s="292"/>
    </row>
    <row r="80" spans="1:59">
      <c r="O80" s="402"/>
      <c r="P80" s="287"/>
      <c r="Q80" s="287"/>
      <c r="AC80" s="292"/>
      <c r="AR80" s="292"/>
      <c r="BG80" s="292"/>
    </row>
    <row r="81" spans="15:15">
      <c r="O81" s="402"/>
    </row>
  </sheetData>
  <sheetProtection selectLockedCells="1" selectUnlockedCells="1"/>
  <mergeCells count="64">
    <mergeCell ref="C3:F3"/>
    <mergeCell ref="I3:L3"/>
    <mergeCell ref="C63:F63"/>
    <mergeCell ref="I63:L63"/>
    <mergeCell ref="C72:F72"/>
    <mergeCell ref="I72:L72"/>
    <mergeCell ref="C43:F43"/>
    <mergeCell ref="I43:L43"/>
    <mergeCell ref="X12:AA12"/>
    <mergeCell ref="R23:U23"/>
    <mergeCell ref="X23:AA23"/>
    <mergeCell ref="C52:F52"/>
    <mergeCell ref="I52:L52"/>
    <mergeCell ref="C12:F12"/>
    <mergeCell ref="I12:L12"/>
    <mergeCell ref="C23:F23"/>
    <mergeCell ref="I23:L23"/>
    <mergeCell ref="C32:F32"/>
    <mergeCell ref="I32:L32"/>
    <mergeCell ref="R63:U63"/>
    <mergeCell ref="X63:AA63"/>
    <mergeCell ref="R72:U72"/>
    <mergeCell ref="X72:AA72"/>
    <mergeCell ref="AG3:AJ3"/>
    <mergeCell ref="AG32:AJ32"/>
    <mergeCell ref="AG63:AJ63"/>
    <mergeCell ref="R32:U32"/>
    <mergeCell ref="X32:AA32"/>
    <mergeCell ref="R43:U43"/>
    <mergeCell ref="X43:AA43"/>
    <mergeCell ref="R52:U52"/>
    <mergeCell ref="X52:AA52"/>
    <mergeCell ref="R3:U3"/>
    <mergeCell ref="X3:AA3"/>
    <mergeCell ref="R12:U12"/>
    <mergeCell ref="AM3:AP3"/>
    <mergeCell ref="AG12:AJ12"/>
    <mergeCell ref="AM12:AP12"/>
    <mergeCell ref="AG23:AJ23"/>
    <mergeCell ref="AM23:AP23"/>
    <mergeCell ref="AM32:AP32"/>
    <mergeCell ref="AG43:AJ43"/>
    <mergeCell ref="AM43:AP43"/>
    <mergeCell ref="AG52:AJ52"/>
    <mergeCell ref="AM52:AP52"/>
    <mergeCell ref="AV32:AY32"/>
    <mergeCell ref="BB32:BE32"/>
    <mergeCell ref="AV43:AY43"/>
    <mergeCell ref="BB43:BE43"/>
    <mergeCell ref="AV52:AY52"/>
    <mergeCell ref="BB52:BE52"/>
    <mergeCell ref="AV3:AY3"/>
    <mergeCell ref="BB3:BE3"/>
    <mergeCell ref="AV12:AY12"/>
    <mergeCell ref="BB12:BE12"/>
    <mergeCell ref="AV23:AY23"/>
    <mergeCell ref="BB23:BE23"/>
    <mergeCell ref="BB63:BE63"/>
    <mergeCell ref="AV72:AY72"/>
    <mergeCell ref="BB72:BE72"/>
    <mergeCell ref="AM63:AP63"/>
    <mergeCell ref="AG72:AJ72"/>
    <mergeCell ref="AM72:AP72"/>
    <mergeCell ref="AV63:AY63"/>
  </mergeCells>
  <pageMargins left="0.7" right="0.7" top="0.75" bottom="0.75" header="0.3" footer="0.3"/>
  <pageSetup paperSize="9" scale="50" orientation="portrait" r:id="rId1"/>
  <colBreaks count="3" manualBreakCount="3">
    <brk id="15" max="79" man="1"/>
    <brk id="30" max="79" man="1"/>
    <brk id="45" max="7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2" tint="-0.249977111117893"/>
  </sheetPr>
  <dimension ref="A1:P257"/>
  <sheetViews>
    <sheetView workbookViewId="0"/>
  </sheetViews>
  <sheetFormatPr defaultColWidth="9.140625" defaultRowHeight="12.75"/>
  <cols>
    <col min="1" max="1" width="3.5703125" style="98" customWidth="1"/>
    <col min="2" max="2" width="39.28515625" style="98" bestFit="1" customWidth="1"/>
    <col min="3" max="15" width="9.140625" style="98"/>
    <col min="16" max="16" width="3.7109375" style="98" customWidth="1"/>
    <col min="17" max="16384" width="9.140625" style="98"/>
  </cols>
  <sheetData>
    <row r="1" spans="1:16" s="201" customFormat="1" ht="35.25" customHeight="1" thickBot="1">
      <c r="B1" s="874" t="s">
        <v>148</v>
      </c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876"/>
    </row>
    <row r="2" spans="1:16" s="157" customFormat="1" ht="13.5" thickTop="1">
      <c r="B2" s="200" t="s">
        <v>147</v>
      </c>
      <c r="C2" s="877" t="s">
        <v>146</v>
      </c>
      <c r="D2" s="877"/>
      <c r="E2" s="877"/>
      <c r="F2" s="199"/>
      <c r="G2" s="199"/>
      <c r="H2" s="199"/>
      <c r="I2" s="199"/>
      <c r="J2" s="199"/>
      <c r="K2" s="199"/>
      <c r="L2" s="199"/>
      <c r="M2" s="199"/>
      <c r="N2" s="199"/>
      <c r="O2" s="198"/>
    </row>
    <row r="3" spans="1:16" s="157" customFormat="1">
      <c r="B3" s="197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96"/>
    </row>
    <row r="4" spans="1:16" s="166" customFormat="1" ht="12.75" customHeight="1">
      <c r="B4" s="195"/>
      <c r="C4" s="194" t="s">
        <v>145</v>
      </c>
      <c r="D4" s="194" t="s">
        <v>144</v>
      </c>
      <c r="E4" s="194" t="s">
        <v>143</v>
      </c>
      <c r="F4" s="194" t="s">
        <v>142</v>
      </c>
      <c r="G4" s="194" t="s">
        <v>141</v>
      </c>
      <c r="H4" s="194" t="s">
        <v>140</v>
      </c>
      <c r="I4" s="194" t="s">
        <v>139</v>
      </c>
      <c r="J4" s="194" t="s">
        <v>138</v>
      </c>
      <c r="K4" s="194" t="s">
        <v>137</v>
      </c>
      <c r="L4" s="194" t="s">
        <v>136</v>
      </c>
      <c r="M4" s="194" t="s">
        <v>135</v>
      </c>
      <c r="N4" s="194" t="s">
        <v>134</v>
      </c>
      <c r="O4" s="193" t="s">
        <v>23</v>
      </c>
    </row>
    <row r="5" spans="1:16" s="157" customFormat="1" ht="12.75" customHeight="1">
      <c r="A5" s="165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6"/>
      <c r="P5" s="158"/>
    </row>
    <row r="6" spans="1:16" s="157" customFormat="1" ht="12.75" customHeight="1">
      <c r="A6" s="165"/>
      <c r="B6" s="175" t="s">
        <v>133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3"/>
      <c r="P6" s="158"/>
    </row>
    <row r="7" spans="1:16" s="157" customFormat="1" ht="12.75" customHeight="1">
      <c r="A7" s="165"/>
      <c r="B7" s="172" t="s">
        <v>149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215">
        <f t="shared" ref="O7:O14" si="0">SUM(C7:N7)</f>
        <v>0</v>
      </c>
      <c r="P7" s="158"/>
    </row>
    <row r="8" spans="1:16" s="157" customFormat="1" ht="12.75" customHeight="1">
      <c r="A8" s="165"/>
      <c r="B8" s="172" t="s">
        <v>150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215">
        <f t="shared" si="0"/>
        <v>0</v>
      </c>
      <c r="P8" s="158"/>
    </row>
    <row r="9" spans="1:16" s="157" customFormat="1" ht="12.75" customHeight="1">
      <c r="A9" s="165"/>
      <c r="B9" s="172" t="s">
        <v>151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215">
        <f t="shared" si="0"/>
        <v>0</v>
      </c>
      <c r="P9" s="158"/>
    </row>
    <row r="10" spans="1:16" s="157" customFormat="1" ht="12.75" customHeight="1">
      <c r="A10" s="165"/>
      <c r="B10" s="190" t="s">
        <v>132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221">
        <f t="shared" si="0"/>
        <v>0</v>
      </c>
      <c r="P10" s="158"/>
    </row>
    <row r="11" spans="1:16" s="157" customFormat="1" ht="12.75" customHeight="1">
      <c r="A11" s="165"/>
      <c r="B11" s="192" t="s">
        <v>131</v>
      </c>
      <c r="C11" s="191"/>
      <c r="D11" s="191"/>
      <c r="E11" s="191"/>
      <c r="F11" s="180"/>
      <c r="G11" s="191"/>
      <c r="H11" s="191"/>
      <c r="I11" s="191"/>
      <c r="J11" s="191"/>
      <c r="K11" s="191"/>
      <c r="L11" s="191"/>
      <c r="M11" s="191"/>
      <c r="N11" s="191"/>
      <c r="O11" s="221">
        <f t="shared" si="0"/>
        <v>0</v>
      </c>
      <c r="P11" s="158"/>
    </row>
    <row r="12" spans="1:16" s="157" customFormat="1" ht="12.75" customHeight="1">
      <c r="A12" s="165"/>
      <c r="B12" s="192" t="s">
        <v>127</v>
      </c>
      <c r="C12" s="191"/>
      <c r="D12" s="191"/>
      <c r="E12" s="191"/>
      <c r="F12" s="180"/>
      <c r="G12" s="191"/>
      <c r="H12" s="191"/>
      <c r="I12" s="191"/>
      <c r="J12" s="191"/>
      <c r="K12" s="191"/>
      <c r="L12" s="191"/>
      <c r="M12" s="191"/>
      <c r="N12" s="191"/>
      <c r="O12" s="221">
        <f t="shared" si="0"/>
        <v>0</v>
      </c>
      <c r="P12" s="158"/>
    </row>
    <row r="13" spans="1:16" s="157" customFormat="1" ht="12.75" customHeight="1">
      <c r="A13" s="165"/>
      <c r="B13" s="190" t="s">
        <v>130</v>
      </c>
      <c r="C13" s="180"/>
      <c r="D13" s="190"/>
      <c r="E13" s="180"/>
      <c r="F13" s="190"/>
      <c r="G13" s="180"/>
      <c r="H13" s="190"/>
      <c r="I13" s="180"/>
      <c r="J13" s="190"/>
      <c r="K13" s="180"/>
      <c r="L13" s="190"/>
      <c r="M13" s="180"/>
      <c r="N13" s="191"/>
      <c r="O13" s="221">
        <f t="shared" si="0"/>
        <v>0</v>
      </c>
      <c r="P13" s="158"/>
    </row>
    <row r="14" spans="1:16" s="157" customFormat="1" ht="12.75" customHeight="1">
      <c r="A14" s="165"/>
      <c r="B14" s="190" t="s">
        <v>128</v>
      </c>
      <c r="C14" s="180"/>
      <c r="D14" s="190"/>
      <c r="E14" s="180"/>
      <c r="F14" s="190"/>
      <c r="G14" s="180"/>
      <c r="H14" s="190"/>
      <c r="I14" s="180"/>
      <c r="J14" s="190"/>
      <c r="K14" s="180"/>
      <c r="L14" s="190"/>
      <c r="M14" s="180"/>
      <c r="N14" s="191"/>
      <c r="O14" s="221">
        <f t="shared" si="0"/>
        <v>0</v>
      </c>
      <c r="P14" s="158"/>
    </row>
    <row r="15" spans="1:16" s="166" customFormat="1" ht="12.75" customHeight="1" thickBot="1">
      <c r="A15" s="169"/>
      <c r="B15" s="216" t="s">
        <v>129</v>
      </c>
      <c r="C15" s="217">
        <f>SUM(C7:C14)</f>
        <v>0</v>
      </c>
      <c r="D15" s="217">
        <f>SUM(D7:D14)</f>
        <v>0</v>
      </c>
      <c r="E15" s="217">
        <f>SUM(E7:E13)</f>
        <v>0</v>
      </c>
      <c r="F15" s="217">
        <f>SUM(F7:F13)</f>
        <v>0</v>
      </c>
      <c r="G15" s="217">
        <f>SUM(G7:G14)</f>
        <v>0</v>
      </c>
      <c r="H15" s="217">
        <f>SUM(H7:H13)</f>
        <v>0</v>
      </c>
      <c r="I15" s="217">
        <f>SUM(I7:I13)</f>
        <v>0</v>
      </c>
      <c r="J15" s="217">
        <f>SUM(J7:J13)</f>
        <v>0</v>
      </c>
      <c r="K15" s="217">
        <f>SUM(K7:K14)</f>
        <v>0</v>
      </c>
      <c r="L15" s="217">
        <f>SUM(L7:L13)</f>
        <v>0</v>
      </c>
      <c r="M15" s="217">
        <f>SUM(M7:M14)</f>
        <v>0</v>
      </c>
      <c r="N15" s="218">
        <f>SUM(N7:N14)</f>
        <v>0</v>
      </c>
      <c r="O15" s="179">
        <f>SUM(O7:O14)</f>
        <v>0</v>
      </c>
      <c r="P15" s="167"/>
    </row>
    <row r="16" spans="1:16" s="157" customFormat="1" ht="12.75" customHeight="1">
      <c r="A16" s="165"/>
      <c r="B16" s="178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87"/>
      <c r="P16" s="158"/>
    </row>
    <row r="17" spans="1:16" s="157" customFormat="1" ht="12.75" customHeight="1">
      <c r="A17" s="165"/>
      <c r="B17" s="175" t="s">
        <v>126</v>
      </c>
      <c r="C17" s="189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83"/>
      <c r="P17" s="158"/>
    </row>
    <row r="18" spans="1:16" s="157" customFormat="1" ht="12.75" customHeight="1">
      <c r="A18" s="165"/>
      <c r="B18" s="172" t="s">
        <v>152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221">
        <f>SUM(C18:N18)</f>
        <v>0</v>
      </c>
      <c r="P18" s="158"/>
    </row>
    <row r="19" spans="1:16" s="157" customFormat="1" ht="12.75" customHeight="1">
      <c r="A19" s="165"/>
      <c r="B19" s="182" t="s">
        <v>125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215">
        <f>SUM(C19:N19)</f>
        <v>0</v>
      </c>
      <c r="P19" s="158"/>
    </row>
    <row r="20" spans="1:16" s="157" customFormat="1" ht="12.75" customHeight="1">
      <c r="A20" s="165"/>
      <c r="B20" s="182" t="s">
        <v>124</v>
      </c>
      <c r="C20" s="170"/>
      <c r="D20" s="182"/>
      <c r="E20" s="170"/>
      <c r="F20" s="182"/>
      <c r="G20" s="170"/>
      <c r="H20" s="170"/>
      <c r="I20" s="170"/>
      <c r="J20" s="182"/>
      <c r="K20" s="170"/>
      <c r="L20" s="170"/>
      <c r="M20" s="170"/>
      <c r="N20" s="182"/>
      <c r="O20" s="221">
        <f>SUM(C20:N20)</f>
        <v>0</v>
      </c>
      <c r="P20" s="158"/>
    </row>
    <row r="21" spans="1:16" s="157" customFormat="1" ht="12.75" customHeight="1">
      <c r="A21" s="165"/>
      <c r="B21" s="182" t="s">
        <v>123</v>
      </c>
      <c r="C21" s="170"/>
      <c r="D21" s="182"/>
      <c r="E21" s="170"/>
      <c r="F21" s="182"/>
      <c r="G21" s="170"/>
      <c r="H21" s="182"/>
      <c r="I21" s="170"/>
      <c r="J21" s="182"/>
      <c r="K21" s="170"/>
      <c r="L21" s="170"/>
      <c r="M21" s="170"/>
      <c r="N21" s="182"/>
      <c r="O21" s="221">
        <f>SUM(C21:N21)</f>
        <v>0</v>
      </c>
      <c r="P21" s="158"/>
    </row>
    <row r="22" spans="1:16" s="166" customFormat="1" ht="12.75" customHeight="1" thickBot="1">
      <c r="A22" s="169"/>
      <c r="B22" s="216" t="s">
        <v>153</v>
      </c>
      <c r="C22" s="217">
        <f>SUM(C18:C21)</f>
        <v>0</v>
      </c>
      <c r="D22" s="217">
        <f t="shared" ref="D22:N22" si="1">SUM(D18:D21)</f>
        <v>0</v>
      </c>
      <c r="E22" s="217">
        <f t="shared" si="1"/>
        <v>0</v>
      </c>
      <c r="F22" s="217">
        <f t="shared" si="1"/>
        <v>0</v>
      </c>
      <c r="G22" s="217">
        <f t="shared" si="1"/>
        <v>0</v>
      </c>
      <c r="H22" s="217">
        <f t="shared" si="1"/>
        <v>0</v>
      </c>
      <c r="I22" s="217">
        <f t="shared" si="1"/>
        <v>0</v>
      </c>
      <c r="J22" s="217">
        <f t="shared" si="1"/>
        <v>0</v>
      </c>
      <c r="K22" s="217">
        <f t="shared" si="1"/>
        <v>0</v>
      </c>
      <c r="L22" s="217">
        <f t="shared" si="1"/>
        <v>0</v>
      </c>
      <c r="M22" s="217">
        <f t="shared" si="1"/>
        <v>0</v>
      </c>
      <c r="N22" s="217">
        <f t="shared" si="1"/>
        <v>0</v>
      </c>
      <c r="O22" s="179">
        <f>SUM(O18:O21)</f>
        <v>0</v>
      </c>
      <c r="P22" s="167"/>
    </row>
    <row r="23" spans="1:16" s="157" customFormat="1" ht="12.75" customHeight="1">
      <c r="A23" s="165"/>
      <c r="B23" s="178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87"/>
      <c r="P23" s="158"/>
    </row>
    <row r="24" spans="1:16" s="157" customFormat="1" ht="12.75" customHeight="1">
      <c r="A24" s="165"/>
      <c r="B24" s="175" t="s">
        <v>122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83"/>
      <c r="P24" s="158"/>
    </row>
    <row r="25" spans="1:16" s="157" customFormat="1" ht="12.75" customHeight="1">
      <c r="A25" s="165"/>
      <c r="B25" s="182" t="s">
        <v>121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215">
        <f t="shared" ref="O25:O32" si="2">SUM(C25:N25)</f>
        <v>0</v>
      </c>
      <c r="P25" s="158"/>
    </row>
    <row r="26" spans="1:16" s="157" customFormat="1" ht="12.75" customHeight="1">
      <c r="A26" s="165"/>
      <c r="B26" s="182" t="s">
        <v>154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221">
        <f t="shared" si="2"/>
        <v>0</v>
      </c>
      <c r="P26" s="158"/>
    </row>
    <row r="27" spans="1:16" s="157" customFormat="1" ht="12.75" customHeight="1">
      <c r="A27" s="165"/>
      <c r="B27" s="182" t="s">
        <v>155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221">
        <f t="shared" si="2"/>
        <v>0</v>
      </c>
      <c r="P27" s="158"/>
    </row>
    <row r="28" spans="1:16" s="157" customFormat="1" ht="12.75" customHeight="1">
      <c r="A28" s="165"/>
      <c r="B28" s="182" t="s">
        <v>120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221">
        <f t="shared" si="2"/>
        <v>0</v>
      </c>
      <c r="P28" s="158"/>
    </row>
    <row r="29" spans="1:16" s="157" customFormat="1" ht="12.75" customHeight="1">
      <c r="A29" s="165"/>
      <c r="B29" s="182" t="s">
        <v>119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221">
        <f t="shared" si="2"/>
        <v>0</v>
      </c>
      <c r="P29" s="158"/>
    </row>
    <row r="30" spans="1:16" s="157" customFormat="1" ht="12.75" customHeight="1">
      <c r="A30" s="165"/>
      <c r="B30" s="182" t="s">
        <v>118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221">
        <f t="shared" si="2"/>
        <v>0</v>
      </c>
      <c r="P30" s="158"/>
    </row>
    <row r="31" spans="1:16" s="157" customFormat="1" ht="12.75" customHeight="1">
      <c r="A31" s="165"/>
      <c r="B31" s="182" t="s">
        <v>117</v>
      </c>
      <c r="C31" s="170"/>
      <c r="D31" s="182"/>
      <c r="E31" s="170"/>
      <c r="F31" s="182"/>
      <c r="G31" s="170"/>
      <c r="H31" s="182"/>
      <c r="I31" s="170"/>
      <c r="J31" s="182"/>
      <c r="K31" s="170"/>
      <c r="L31" s="182"/>
      <c r="M31" s="170"/>
      <c r="N31" s="182"/>
      <c r="O31" s="221">
        <f t="shared" si="2"/>
        <v>0</v>
      </c>
      <c r="P31" s="158"/>
    </row>
    <row r="32" spans="1:16" s="157" customFormat="1" ht="12.75" customHeight="1">
      <c r="A32" s="165"/>
      <c r="B32" s="182" t="s">
        <v>116</v>
      </c>
      <c r="C32" s="170"/>
      <c r="D32" s="182"/>
      <c r="E32" s="170"/>
      <c r="F32" s="182"/>
      <c r="G32" s="170"/>
      <c r="H32" s="182"/>
      <c r="I32" s="170"/>
      <c r="J32" s="182"/>
      <c r="K32" s="170"/>
      <c r="L32" s="182"/>
      <c r="M32" s="170"/>
      <c r="N32" s="182"/>
      <c r="O32" s="221">
        <f t="shared" si="2"/>
        <v>0</v>
      </c>
      <c r="P32" s="158"/>
    </row>
    <row r="33" spans="1:16" s="166" customFormat="1" ht="12.75" customHeight="1" thickBot="1">
      <c r="A33" s="169"/>
      <c r="B33" s="216" t="s">
        <v>115</v>
      </c>
      <c r="C33" s="217">
        <f t="shared" ref="C33:O33" si="3">SUM(C25:C32)</f>
        <v>0</v>
      </c>
      <c r="D33" s="217">
        <f t="shared" si="3"/>
        <v>0</v>
      </c>
      <c r="E33" s="217">
        <f t="shared" si="3"/>
        <v>0</v>
      </c>
      <c r="F33" s="217">
        <f t="shared" si="3"/>
        <v>0</v>
      </c>
      <c r="G33" s="217">
        <f t="shared" si="3"/>
        <v>0</v>
      </c>
      <c r="H33" s="217">
        <f t="shared" si="3"/>
        <v>0</v>
      </c>
      <c r="I33" s="217">
        <f t="shared" si="3"/>
        <v>0</v>
      </c>
      <c r="J33" s="217">
        <f t="shared" si="3"/>
        <v>0</v>
      </c>
      <c r="K33" s="217">
        <f t="shared" si="3"/>
        <v>0</v>
      </c>
      <c r="L33" s="217">
        <f t="shared" si="3"/>
        <v>0</v>
      </c>
      <c r="M33" s="217">
        <f t="shared" si="3"/>
        <v>0</v>
      </c>
      <c r="N33" s="217">
        <f t="shared" si="3"/>
        <v>0</v>
      </c>
      <c r="O33" s="179">
        <f t="shared" si="3"/>
        <v>0</v>
      </c>
      <c r="P33" s="167"/>
    </row>
    <row r="34" spans="1:16" s="157" customFormat="1" ht="12.75" customHeight="1">
      <c r="A34" s="165"/>
      <c r="B34" s="178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87"/>
      <c r="P34" s="158"/>
    </row>
    <row r="35" spans="1:16" s="157" customFormat="1" ht="12.75" customHeight="1">
      <c r="A35" s="165"/>
      <c r="B35" s="175" t="s">
        <v>114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83"/>
      <c r="P35" s="158"/>
    </row>
    <row r="36" spans="1:16" s="157" customFormat="1" ht="12.75" customHeight="1">
      <c r="A36" s="165"/>
      <c r="B36" s="182" t="s">
        <v>113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215">
        <f>SUM(C36:N36)</f>
        <v>0</v>
      </c>
      <c r="P36" s="158"/>
    </row>
    <row r="37" spans="1:16" s="157" customFormat="1" ht="12.75" customHeight="1">
      <c r="A37" s="165"/>
      <c r="B37" s="182" t="s">
        <v>112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221">
        <f>SUM(C37:N37)</f>
        <v>0</v>
      </c>
      <c r="P37" s="158"/>
    </row>
    <row r="38" spans="1:16" s="157" customFormat="1" ht="12.75" customHeight="1">
      <c r="A38" s="165"/>
      <c r="B38" s="186" t="s">
        <v>111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221">
        <f>SUM(C38:N38)</f>
        <v>0</v>
      </c>
      <c r="P38" s="158"/>
    </row>
    <row r="39" spans="1:16" s="157" customFormat="1" ht="12.75" customHeight="1">
      <c r="A39" s="165"/>
      <c r="B39" s="182" t="s">
        <v>110</v>
      </c>
      <c r="C39" s="170"/>
      <c r="D39" s="182"/>
      <c r="E39" s="170"/>
      <c r="F39" s="182"/>
      <c r="G39" s="170"/>
      <c r="H39" s="182"/>
      <c r="I39" s="170"/>
      <c r="J39" s="182"/>
      <c r="K39" s="170"/>
      <c r="L39" s="182"/>
      <c r="M39" s="170"/>
      <c r="N39" s="182"/>
      <c r="O39" s="221">
        <f>SUM(C39:N39)</f>
        <v>0</v>
      </c>
      <c r="P39" s="158"/>
    </row>
    <row r="40" spans="1:16" s="166" customFormat="1" ht="12.75" customHeight="1" thickBot="1">
      <c r="A40" s="169"/>
      <c r="B40" s="216" t="s">
        <v>109</v>
      </c>
      <c r="C40" s="217">
        <f t="shared" ref="C40:N40" si="4">SUM(C36:C39)</f>
        <v>0</v>
      </c>
      <c r="D40" s="217">
        <f t="shared" si="4"/>
        <v>0</v>
      </c>
      <c r="E40" s="217">
        <f t="shared" si="4"/>
        <v>0</v>
      </c>
      <c r="F40" s="217">
        <f t="shared" si="4"/>
        <v>0</v>
      </c>
      <c r="G40" s="217">
        <f t="shared" si="4"/>
        <v>0</v>
      </c>
      <c r="H40" s="217">
        <f t="shared" si="4"/>
        <v>0</v>
      </c>
      <c r="I40" s="217">
        <f t="shared" si="4"/>
        <v>0</v>
      </c>
      <c r="J40" s="217">
        <f t="shared" si="4"/>
        <v>0</v>
      </c>
      <c r="K40" s="217">
        <f t="shared" si="4"/>
        <v>0</v>
      </c>
      <c r="L40" s="217">
        <f t="shared" si="4"/>
        <v>0</v>
      </c>
      <c r="M40" s="217">
        <f t="shared" si="4"/>
        <v>0</v>
      </c>
      <c r="N40" s="218">
        <f t="shared" si="4"/>
        <v>0</v>
      </c>
      <c r="O40" s="179">
        <f>SUM(O36:O39)</f>
        <v>0</v>
      </c>
      <c r="P40" s="167"/>
    </row>
    <row r="41" spans="1:16" s="166" customFormat="1" ht="12.75" customHeight="1">
      <c r="A41" s="169"/>
      <c r="B41" s="185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84"/>
      <c r="P41" s="167"/>
    </row>
    <row r="42" spans="1:16" s="157" customFormat="1" ht="12.75" customHeight="1">
      <c r="A42" s="165"/>
      <c r="B42" s="175" t="s">
        <v>108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83"/>
      <c r="P42" s="158"/>
    </row>
    <row r="43" spans="1:16" s="157" customFormat="1" ht="12.75" customHeight="1">
      <c r="A43" s="165"/>
      <c r="B43" s="182" t="s">
        <v>107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215">
        <f>SUM(C43:N43)</f>
        <v>0</v>
      </c>
      <c r="P43" s="158"/>
    </row>
    <row r="44" spans="1:16" s="157" customFormat="1" ht="12.75" customHeight="1">
      <c r="A44" s="165"/>
      <c r="B44" s="170" t="s">
        <v>106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215">
        <f>SUM(E44:N44)</f>
        <v>0</v>
      </c>
      <c r="P44" s="158"/>
    </row>
    <row r="45" spans="1:16" s="157" customFormat="1" ht="12.75" customHeight="1">
      <c r="A45" s="165"/>
      <c r="B45" s="182" t="s">
        <v>105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215">
        <f>SUM(E45:N45)</f>
        <v>0</v>
      </c>
      <c r="P45" s="158"/>
    </row>
    <row r="46" spans="1:16" s="157" customFormat="1" ht="12.75" customHeight="1">
      <c r="A46" s="165"/>
      <c r="B46" s="180" t="s">
        <v>104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221">
        <f>SUM(C46:N46)</f>
        <v>0</v>
      </c>
      <c r="P46" s="158"/>
    </row>
    <row r="47" spans="1:16" s="166" customFormat="1" ht="12.75" customHeight="1" thickBot="1">
      <c r="A47" s="169"/>
      <c r="B47" s="216" t="s">
        <v>103</v>
      </c>
      <c r="C47" s="217">
        <f t="shared" ref="C47:N47" si="5">SUM(C43:C46)</f>
        <v>0</v>
      </c>
      <c r="D47" s="217">
        <f t="shared" si="5"/>
        <v>0</v>
      </c>
      <c r="E47" s="217">
        <f t="shared" si="5"/>
        <v>0</v>
      </c>
      <c r="F47" s="217">
        <f t="shared" si="5"/>
        <v>0</v>
      </c>
      <c r="G47" s="217">
        <f t="shared" si="5"/>
        <v>0</v>
      </c>
      <c r="H47" s="217">
        <f t="shared" si="5"/>
        <v>0</v>
      </c>
      <c r="I47" s="217">
        <f t="shared" si="5"/>
        <v>0</v>
      </c>
      <c r="J47" s="217">
        <f t="shared" si="5"/>
        <v>0</v>
      </c>
      <c r="K47" s="217">
        <f t="shared" si="5"/>
        <v>0</v>
      </c>
      <c r="L47" s="217">
        <f t="shared" si="5"/>
        <v>0</v>
      </c>
      <c r="M47" s="217">
        <f t="shared" si="5"/>
        <v>0</v>
      </c>
      <c r="N47" s="217">
        <f t="shared" si="5"/>
        <v>0</v>
      </c>
      <c r="O47" s="179">
        <f>SUM(C47:N47)</f>
        <v>0</v>
      </c>
      <c r="P47" s="167"/>
    </row>
    <row r="48" spans="1:16" s="157" customFormat="1" ht="12.75" customHeight="1">
      <c r="A48" s="165"/>
      <c r="B48" s="178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6"/>
      <c r="P48" s="158"/>
    </row>
    <row r="49" spans="1:16" s="157" customFormat="1" ht="12.75" customHeight="1">
      <c r="A49" s="165"/>
      <c r="B49" s="175" t="s">
        <v>4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3"/>
      <c r="P49" s="158"/>
    </row>
    <row r="50" spans="1:16" s="157" customFormat="1" ht="12.75" customHeight="1">
      <c r="A50" s="165"/>
      <c r="B50" s="172" t="s">
        <v>156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221">
        <f>SUM(C50:N50)</f>
        <v>0</v>
      </c>
      <c r="P50" s="158"/>
    </row>
    <row r="51" spans="1:16" s="157" customFormat="1" ht="12.75" customHeight="1">
      <c r="A51" s="165"/>
      <c r="B51" s="172" t="s">
        <v>157</v>
      </c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221">
        <f>SUM(C51:N51)</f>
        <v>0</v>
      </c>
      <c r="P51" s="158"/>
    </row>
    <row r="52" spans="1:16" s="157" customFormat="1" ht="12.75" customHeight="1">
      <c r="A52" s="165"/>
      <c r="B52" s="172" t="s">
        <v>158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221">
        <f>SUM(C52:N52)</f>
        <v>0</v>
      </c>
      <c r="P52" s="158"/>
    </row>
    <row r="53" spans="1:16" s="157" customFormat="1" ht="12.75" customHeight="1">
      <c r="A53" s="165"/>
      <c r="B53" s="171" t="s">
        <v>102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221">
        <f>SUM(C53:N53)</f>
        <v>0</v>
      </c>
      <c r="P53" s="158"/>
    </row>
    <row r="54" spans="1:16" s="157" customFormat="1" ht="12.75" customHeight="1">
      <c r="A54" s="165"/>
      <c r="B54" s="202" t="s">
        <v>101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221">
        <f>SUM(C54:N54)</f>
        <v>0</v>
      </c>
      <c r="P54" s="158"/>
    </row>
    <row r="55" spans="1:16" s="166" customFormat="1" ht="12.75" customHeight="1">
      <c r="A55" s="169"/>
      <c r="B55" s="219" t="s">
        <v>100</v>
      </c>
      <c r="C55" s="220">
        <f>SUM(C50:C54)</f>
        <v>0</v>
      </c>
      <c r="D55" s="220">
        <f t="shared" ref="D55:N55" si="6">SUM(D50:D54)</f>
        <v>0</v>
      </c>
      <c r="E55" s="220">
        <f t="shared" si="6"/>
        <v>0</v>
      </c>
      <c r="F55" s="220">
        <f t="shared" si="6"/>
        <v>0</v>
      </c>
      <c r="G55" s="220">
        <f t="shared" si="6"/>
        <v>0</v>
      </c>
      <c r="H55" s="220">
        <f t="shared" si="6"/>
        <v>0</v>
      </c>
      <c r="I55" s="220">
        <f t="shared" si="6"/>
        <v>0</v>
      </c>
      <c r="J55" s="220">
        <f t="shared" si="6"/>
        <v>0</v>
      </c>
      <c r="K55" s="220">
        <f t="shared" si="6"/>
        <v>0</v>
      </c>
      <c r="L55" s="220">
        <f t="shared" si="6"/>
        <v>0</v>
      </c>
      <c r="M55" s="220">
        <f t="shared" si="6"/>
        <v>0</v>
      </c>
      <c r="N55" s="220">
        <f t="shared" si="6"/>
        <v>0</v>
      </c>
      <c r="O55" s="168">
        <f>SUM(O50:O54)</f>
        <v>0</v>
      </c>
      <c r="P55" s="167"/>
    </row>
    <row r="56" spans="1:16" s="157" customFormat="1" ht="12.75" customHeight="1" thickBot="1">
      <c r="A56" s="165"/>
      <c r="B56" s="164" t="s">
        <v>99</v>
      </c>
      <c r="C56" s="163">
        <f t="shared" ref="C56:N56" si="7">+C55+C47+C40+C33+C22+C15</f>
        <v>0</v>
      </c>
      <c r="D56" s="163">
        <f t="shared" si="7"/>
        <v>0</v>
      </c>
      <c r="E56" s="163">
        <f t="shared" si="7"/>
        <v>0</v>
      </c>
      <c r="F56" s="163">
        <f t="shared" si="7"/>
        <v>0</v>
      </c>
      <c r="G56" s="163">
        <f t="shared" si="7"/>
        <v>0</v>
      </c>
      <c r="H56" s="163">
        <f t="shared" si="7"/>
        <v>0</v>
      </c>
      <c r="I56" s="163">
        <f t="shared" si="7"/>
        <v>0</v>
      </c>
      <c r="J56" s="163">
        <f t="shared" si="7"/>
        <v>0</v>
      </c>
      <c r="K56" s="163">
        <f t="shared" si="7"/>
        <v>0</v>
      </c>
      <c r="L56" s="163">
        <f t="shared" si="7"/>
        <v>0</v>
      </c>
      <c r="M56" s="163">
        <f t="shared" si="7"/>
        <v>0</v>
      </c>
      <c r="N56" s="163">
        <f t="shared" si="7"/>
        <v>0</v>
      </c>
      <c r="O56" s="162">
        <f>SUM(O55,O47,O40,O33,O22,O15)</f>
        <v>0</v>
      </c>
      <c r="P56" s="158"/>
    </row>
    <row r="57" spans="1:16" s="159" customFormat="1" ht="12.75" customHeight="1">
      <c r="O57" s="161"/>
      <c r="P57" s="160"/>
    </row>
    <row r="58" spans="1:16" s="157" customFormat="1"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</row>
    <row r="59" spans="1:16" s="157" customFormat="1"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</row>
    <row r="60" spans="1:16" s="157" customFormat="1">
      <c r="B60" s="204"/>
      <c r="C60" s="205" t="s">
        <v>11</v>
      </c>
      <c r="D60" s="205" t="s">
        <v>12</v>
      </c>
      <c r="E60" s="205" t="s">
        <v>13</v>
      </c>
      <c r="F60" s="205" t="s">
        <v>14</v>
      </c>
      <c r="G60" s="205" t="s">
        <v>23</v>
      </c>
      <c r="H60" s="158"/>
      <c r="I60" s="158"/>
      <c r="J60" s="158"/>
      <c r="K60" s="158"/>
      <c r="L60" s="158"/>
      <c r="M60" s="158"/>
      <c r="N60" s="158"/>
      <c r="O60" s="158"/>
      <c r="P60" s="158"/>
    </row>
    <row r="61" spans="1:16" s="157" customFormat="1">
      <c r="B61" s="157" t="str">
        <f>+B15</f>
        <v>Exhibitions Total</v>
      </c>
      <c r="C61" s="206">
        <f>SUM(C15:E15)/1000</f>
        <v>0</v>
      </c>
      <c r="D61" s="206">
        <f>SUM(F15:H15)/1000</f>
        <v>0</v>
      </c>
      <c r="E61" s="206">
        <f>SUM(I15:K15)/1000</f>
        <v>0</v>
      </c>
      <c r="F61" s="206">
        <f>SUM(L15:N15)/1000</f>
        <v>0</v>
      </c>
      <c r="G61" s="213">
        <f t="shared" ref="G61:G66" si="8">SUM(C61:F61)</f>
        <v>0</v>
      </c>
      <c r="H61" s="158"/>
      <c r="I61" s="158"/>
      <c r="J61" s="158"/>
      <c r="K61" s="158"/>
      <c r="L61" s="158"/>
      <c r="M61" s="158"/>
      <c r="N61" s="158"/>
      <c r="O61" s="158"/>
      <c r="P61" s="158"/>
    </row>
    <row r="62" spans="1:16" s="157" customFormat="1">
      <c r="B62" s="203" t="str">
        <f>+B22</f>
        <v>Market Research Total</v>
      </c>
      <c r="C62" s="206">
        <f>SUM(C22:E22)/1000</f>
        <v>0</v>
      </c>
      <c r="D62" s="206">
        <f>SUM(F22:H22)/1000</f>
        <v>0</v>
      </c>
      <c r="E62" s="206">
        <f>SUM(I22:K22)/1000</f>
        <v>0</v>
      </c>
      <c r="F62" s="206">
        <f>SUM(L22:N22)/1000</f>
        <v>0</v>
      </c>
      <c r="G62" s="213">
        <f t="shared" si="8"/>
        <v>0</v>
      </c>
      <c r="H62" s="158"/>
      <c r="I62" s="158"/>
      <c r="J62" s="158"/>
      <c r="K62" s="158"/>
      <c r="L62" s="158"/>
      <c r="M62" s="158"/>
      <c r="N62" s="158"/>
      <c r="O62" s="158"/>
      <c r="P62" s="158"/>
    </row>
    <row r="63" spans="1:16" s="157" customFormat="1">
      <c r="B63" s="203" t="str">
        <f>+B33</f>
        <v>Marketing Communications Total</v>
      </c>
      <c r="C63" s="206">
        <f>SUM(C33:E33)/1000</f>
        <v>0</v>
      </c>
      <c r="D63" s="206">
        <f>SUM(F33:H33)/1000</f>
        <v>0</v>
      </c>
      <c r="E63" s="206">
        <f>SUM(I33:K33)/1000</f>
        <v>0</v>
      </c>
      <c r="F63" s="206">
        <f>SUM(L33:N33)/1000</f>
        <v>0</v>
      </c>
      <c r="G63" s="213">
        <f t="shared" si="8"/>
        <v>0</v>
      </c>
      <c r="H63" s="158"/>
      <c r="I63" s="158"/>
      <c r="J63" s="158"/>
      <c r="K63" s="158"/>
      <c r="L63" s="158"/>
      <c r="M63" s="158"/>
      <c r="N63" s="158"/>
      <c r="O63" s="158"/>
      <c r="P63" s="158"/>
    </row>
    <row r="64" spans="1:16" s="157" customFormat="1">
      <c r="B64" s="203" t="str">
        <f>+B40</f>
        <v>Digital Marketing Materials Total</v>
      </c>
      <c r="C64" s="206">
        <f>SUM(C40:E40)/1000</f>
        <v>0</v>
      </c>
      <c r="D64" s="206">
        <f>SUM(F40:H40)/1000</f>
        <v>0</v>
      </c>
      <c r="E64" s="206">
        <f>SUM(I40:K40)/1000</f>
        <v>0</v>
      </c>
      <c r="F64" s="206">
        <f>SUM(L40:N40)/1000</f>
        <v>0</v>
      </c>
      <c r="G64" s="213">
        <f t="shared" si="8"/>
        <v>0</v>
      </c>
      <c r="H64" s="158"/>
      <c r="I64" s="158"/>
      <c r="J64" s="158"/>
      <c r="K64" s="158"/>
      <c r="L64" s="158"/>
      <c r="M64" s="158"/>
      <c r="N64" s="158"/>
      <c r="O64" s="158"/>
      <c r="P64" s="158"/>
    </row>
    <row r="65" spans="2:16" s="157" customFormat="1">
      <c r="B65" s="157" t="str">
        <f>+B47</f>
        <v>Booth Total</v>
      </c>
      <c r="C65" s="206">
        <f>SUM(C47:E47)/1000</f>
        <v>0</v>
      </c>
      <c r="D65" s="206">
        <f>SUM(F47:H47)/1000</f>
        <v>0</v>
      </c>
      <c r="E65" s="206">
        <f>SUM(I47:K47)/1000</f>
        <v>0</v>
      </c>
      <c r="F65" s="206">
        <f>SUM(L47:N47)/1000</f>
        <v>0</v>
      </c>
      <c r="G65" s="213">
        <f t="shared" si="8"/>
        <v>0</v>
      </c>
      <c r="H65" s="158"/>
      <c r="I65" s="158"/>
      <c r="J65" s="158"/>
      <c r="K65" s="158"/>
      <c r="L65" s="158"/>
      <c r="M65" s="158"/>
      <c r="N65" s="158"/>
      <c r="O65" s="158"/>
      <c r="P65" s="158"/>
    </row>
    <row r="66" spans="2:16" s="157" customFormat="1">
      <c r="B66" s="157" t="str">
        <f>+B55</f>
        <v>Other Total</v>
      </c>
      <c r="C66" s="206">
        <f>SUM(C55:E55)/1000</f>
        <v>0</v>
      </c>
      <c r="D66" s="206">
        <f>SUM(F55:H55)/1000</f>
        <v>0</v>
      </c>
      <c r="E66" s="206">
        <f>SUM(I55:K55)/1000</f>
        <v>0</v>
      </c>
      <c r="F66" s="206">
        <f>SUM(L55:N55)/1000</f>
        <v>0</v>
      </c>
      <c r="G66" s="213">
        <f t="shared" si="8"/>
        <v>0</v>
      </c>
      <c r="H66" s="158"/>
      <c r="I66" s="158"/>
      <c r="J66" s="158"/>
      <c r="K66" s="158"/>
      <c r="L66" s="158"/>
      <c r="M66" s="158"/>
      <c r="N66" s="158"/>
      <c r="O66" s="158"/>
      <c r="P66" s="158"/>
    </row>
    <row r="67" spans="2:16" s="157" customFormat="1">
      <c r="B67" s="207"/>
      <c r="C67" s="208">
        <f>SUM(C61:C66)</f>
        <v>0</v>
      </c>
      <c r="D67" s="208">
        <f>SUM(D61:D66)</f>
        <v>0</v>
      </c>
      <c r="E67" s="208">
        <f>SUM(E61:E66)</f>
        <v>0</v>
      </c>
      <c r="F67" s="208">
        <f>SUM(F61:F66)</f>
        <v>0</v>
      </c>
      <c r="G67" s="208">
        <f>SUM(G61:G66)</f>
        <v>0</v>
      </c>
      <c r="H67" s="158"/>
      <c r="I67" s="158"/>
      <c r="J67" s="158"/>
      <c r="K67" s="158"/>
      <c r="L67" s="158"/>
      <c r="M67" s="158"/>
      <c r="N67" s="158"/>
      <c r="O67" s="158"/>
      <c r="P67" s="158"/>
    </row>
    <row r="68" spans="2:16" s="157" customFormat="1"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</row>
    <row r="69" spans="2:16" s="157" customFormat="1"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</row>
    <row r="70" spans="2:16" s="157" customFormat="1"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</row>
    <row r="71" spans="2:16" s="157" customFormat="1"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</row>
    <row r="72" spans="2:16" s="157" customFormat="1"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</row>
    <row r="73" spans="2:16" s="157" customFormat="1"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</row>
    <row r="74" spans="2:16" s="157" customFormat="1"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</row>
    <row r="75" spans="2:16" s="157" customFormat="1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</row>
    <row r="76" spans="2:16" s="157" customFormat="1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</row>
    <row r="77" spans="2:16" s="157" customFormat="1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2:16" s="157" customFormat="1"/>
    <row r="79" spans="2:16" s="157" customFormat="1"/>
    <row r="80" spans="2:16" s="157" customFormat="1"/>
    <row r="81" s="157" customFormat="1"/>
    <row r="82" s="157" customFormat="1"/>
    <row r="83" s="157" customFormat="1"/>
    <row r="84" s="157" customFormat="1"/>
    <row r="85" s="157" customFormat="1"/>
    <row r="86" s="157" customFormat="1"/>
    <row r="87" s="157" customFormat="1"/>
    <row r="88" s="157" customFormat="1"/>
    <row r="89" s="157" customFormat="1"/>
    <row r="90" s="157" customFormat="1"/>
    <row r="91" s="157" customFormat="1"/>
    <row r="92" s="157" customFormat="1"/>
    <row r="93" s="157" customFormat="1"/>
    <row r="94" s="157" customFormat="1"/>
    <row r="95" s="157" customFormat="1"/>
    <row r="96" s="157" customFormat="1"/>
    <row r="97" s="157" customFormat="1"/>
    <row r="98" s="157" customFormat="1"/>
    <row r="99" s="157" customFormat="1"/>
    <row r="100" s="157" customFormat="1"/>
    <row r="101" s="157" customFormat="1"/>
    <row r="102" s="157" customFormat="1"/>
    <row r="103" s="157" customFormat="1"/>
    <row r="104" s="157" customFormat="1"/>
    <row r="105" s="157" customFormat="1"/>
    <row r="106" s="157" customFormat="1"/>
    <row r="107" s="157" customFormat="1"/>
    <row r="108" s="157" customFormat="1"/>
    <row r="109" s="157" customFormat="1"/>
    <row r="110" s="157" customFormat="1"/>
    <row r="111" s="157" customFormat="1"/>
    <row r="112" s="157" customFormat="1"/>
    <row r="113" s="157" customFormat="1"/>
    <row r="114" s="157" customFormat="1"/>
    <row r="115" s="157" customFormat="1"/>
    <row r="116" s="157" customFormat="1"/>
    <row r="117" s="157" customFormat="1"/>
    <row r="118" s="157" customFormat="1"/>
    <row r="119" s="157" customFormat="1"/>
    <row r="120" s="157" customFormat="1"/>
    <row r="121" s="157" customFormat="1"/>
    <row r="122" s="157" customFormat="1"/>
    <row r="123" s="157" customFormat="1"/>
    <row r="124" s="157" customFormat="1"/>
    <row r="125" s="157" customFormat="1"/>
    <row r="126" s="157" customFormat="1"/>
    <row r="127" s="157" customFormat="1"/>
    <row r="128" s="157" customFormat="1"/>
    <row r="129" s="157" customFormat="1"/>
    <row r="130" s="157" customFormat="1"/>
    <row r="131" s="157" customFormat="1"/>
    <row r="132" s="157" customFormat="1"/>
    <row r="133" s="157" customFormat="1"/>
    <row r="134" s="157" customFormat="1"/>
    <row r="135" s="157" customFormat="1"/>
    <row r="136" s="157" customFormat="1"/>
    <row r="137" s="157" customFormat="1"/>
    <row r="138" s="157" customFormat="1"/>
    <row r="139" s="157" customFormat="1"/>
    <row r="140" s="157" customFormat="1"/>
    <row r="141" s="157" customFormat="1"/>
    <row r="142" s="157" customFormat="1"/>
    <row r="143" s="157" customFormat="1"/>
    <row r="144" s="157" customFormat="1"/>
    <row r="145" s="157" customFormat="1"/>
    <row r="146" s="157" customFormat="1"/>
    <row r="147" s="157" customFormat="1"/>
    <row r="148" s="157" customFormat="1"/>
    <row r="149" s="157" customFormat="1"/>
    <row r="150" s="157" customFormat="1"/>
    <row r="151" s="157" customFormat="1"/>
    <row r="152" s="157" customFormat="1"/>
    <row r="153" s="157" customFormat="1"/>
    <row r="154" s="157" customFormat="1"/>
    <row r="155" s="157" customFormat="1"/>
    <row r="156" s="157" customFormat="1"/>
    <row r="157" s="157" customFormat="1"/>
    <row r="158" s="157" customFormat="1"/>
    <row r="159" s="157" customFormat="1"/>
    <row r="160" s="157" customFormat="1"/>
    <row r="161" s="157" customFormat="1"/>
    <row r="162" s="157" customFormat="1"/>
    <row r="163" s="157" customFormat="1"/>
    <row r="164" s="157" customFormat="1"/>
    <row r="165" s="157" customFormat="1"/>
    <row r="166" s="157" customFormat="1"/>
    <row r="167" s="157" customFormat="1"/>
    <row r="168" s="157" customFormat="1"/>
    <row r="169" s="157" customFormat="1"/>
    <row r="170" s="157" customFormat="1"/>
    <row r="171" s="157" customFormat="1"/>
    <row r="172" s="157" customFormat="1"/>
    <row r="173" s="157" customFormat="1"/>
    <row r="174" s="157" customFormat="1"/>
    <row r="175" s="157" customFormat="1"/>
    <row r="176" s="157" customFormat="1"/>
    <row r="177" s="157" customFormat="1"/>
    <row r="178" s="157" customFormat="1"/>
    <row r="179" s="157" customFormat="1"/>
    <row r="180" s="157" customFormat="1"/>
    <row r="181" s="157" customFormat="1"/>
    <row r="182" s="157" customFormat="1"/>
    <row r="183" s="157" customFormat="1"/>
    <row r="184" s="157" customFormat="1"/>
    <row r="185" s="157" customFormat="1"/>
    <row r="186" s="157" customFormat="1"/>
    <row r="187" s="157" customFormat="1"/>
    <row r="188" s="157" customFormat="1"/>
    <row r="189" s="157" customFormat="1"/>
    <row r="190" s="157" customFormat="1"/>
    <row r="191" s="157" customFormat="1"/>
    <row r="192" s="157" customFormat="1"/>
    <row r="193" s="157" customFormat="1"/>
    <row r="194" s="157" customFormat="1"/>
    <row r="195" s="157" customFormat="1"/>
    <row r="196" s="157" customFormat="1"/>
    <row r="197" s="157" customFormat="1"/>
    <row r="198" s="157" customFormat="1"/>
    <row r="199" s="157" customFormat="1"/>
    <row r="200" s="157" customFormat="1"/>
    <row r="201" s="157" customFormat="1"/>
    <row r="202" s="157" customFormat="1"/>
    <row r="203" s="157" customFormat="1"/>
    <row r="204" s="157" customFormat="1"/>
    <row r="205" s="157" customFormat="1"/>
    <row r="206" s="157" customFormat="1"/>
    <row r="207" s="157" customFormat="1"/>
    <row r="208" s="157" customFormat="1"/>
    <row r="209" s="157" customFormat="1"/>
    <row r="210" s="157" customFormat="1"/>
    <row r="211" s="157" customFormat="1"/>
    <row r="212" s="157" customFormat="1"/>
    <row r="213" s="157" customFormat="1"/>
    <row r="214" s="157" customFormat="1"/>
    <row r="215" s="157" customFormat="1"/>
    <row r="216" s="157" customFormat="1"/>
    <row r="217" s="157" customFormat="1"/>
    <row r="218" s="157" customFormat="1"/>
    <row r="219" s="157" customFormat="1"/>
    <row r="220" s="157" customFormat="1"/>
    <row r="221" s="157" customFormat="1"/>
    <row r="222" s="157" customFormat="1"/>
    <row r="223" s="157" customFormat="1"/>
    <row r="224" s="157" customFormat="1"/>
    <row r="225" s="157" customFormat="1"/>
    <row r="226" s="157" customFormat="1"/>
    <row r="227" s="157" customFormat="1"/>
    <row r="228" s="157" customFormat="1"/>
    <row r="229" s="157" customFormat="1"/>
    <row r="230" s="157" customFormat="1"/>
    <row r="231" s="157" customFormat="1"/>
    <row r="232" s="157" customFormat="1"/>
    <row r="233" s="157" customFormat="1"/>
    <row r="234" s="157" customFormat="1"/>
    <row r="235" s="157" customFormat="1"/>
    <row r="236" s="157" customFormat="1"/>
    <row r="237" s="157" customFormat="1"/>
    <row r="238" s="157" customFormat="1"/>
    <row r="239" s="157" customFormat="1"/>
    <row r="240" s="157" customFormat="1"/>
    <row r="241" s="157" customFormat="1"/>
    <row r="242" s="157" customFormat="1"/>
    <row r="243" s="157" customFormat="1"/>
    <row r="244" s="157" customFormat="1"/>
    <row r="245" s="157" customFormat="1"/>
    <row r="246" s="157" customFormat="1"/>
    <row r="247" s="157" customFormat="1"/>
    <row r="248" s="157" customFormat="1"/>
    <row r="249" s="157" customFormat="1"/>
    <row r="250" s="157" customFormat="1"/>
    <row r="251" s="157" customFormat="1"/>
    <row r="252" s="157" customFormat="1"/>
    <row r="253" s="157" customFormat="1"/>
    <row r="254" s="157" customFormat="1"/>
    <row r="255" s="157" customFormat="1"/>
    <row r="256" s="157" customFormat="1"/>
    <row r="257" s="157" customFormat="1"/>
  </sheetData>
  <mergeCells count="2">
    <mergeCell ref="B1:O1"/>
    <mergeCell ref="C2:E2"/>
  </mergeCells>
  <pageMargins left="0.43307086614173229" right="0.39370078740157483" top="0.6692913385826772" bottom="0.59055118110236227" header="0.51181102362204722" footer="0.39370078740157483"/>
  <pageSetup scale="60" orientation="portrait" horizontalDpi="4294967293" r:id="rId1"/>
  <headerFooter alignWithMargins="0">
    <oddFooter>&amp;L&amp;A&amp;C&amp;D&amp;R&amp;P from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5" tint="-0.249977111117893"/>
  </sheetPr>
  <dimension ref="A1:AA55"/>
  <sheetViews>
    <sheetView workbookViewId="0"/>
  </sheetViews>
  <sheetFormatPr defaultRowHeight="12.75"/>
  <cols>
    <col min="1" max="1" width="28" style="115" customWidth="1"/>
    <col min="2" max="2" width="32.7109375" style="28" customWidth="1"/>
    <col min="3" max="3" width="8.85546875" style="145" customWidth="1"/>
    <col min="4" max="4" width="10.42578125" style="145" customWidth="1"/>
    <col min="5" max="5" width="11.140625" style="145" customWidth="1"/>
    <col min="6" max="6" width="18.42578125" hidden="1" customWidth="1"/>
    <col min="7" max="10" width="10.42578125" customWidth="1"/>
    <col min="11" max="11" width="10.42578125" style="5" customWidth="1"/>
    <col min="12" max="12" width="21" style="5" customWidth="1"/>
    <col min="17" max="17" width="15.42578125" bestFit="1" customWidth="1"/>
    <col min="18" max="18" width="15.5703125" customWidth="1"/>
    <col min="19" max="19" width="15.85546875" customWidth="1"/>
    <col min="20" max="21" width="14.5703125" customWidth="1"/>
    <col min="22" max="22" width="14" customWidth="1"/>
    <col min="23" max="23" width="14.5703125" customWidth="1"/>
    <col min="24" max="24" width="14.7109375" customWidth="1"/>
    <col min="25" max="25" width="15.28515625" customWidth="1"/>
    <col min="255" max="255" width="13.5703125" bestFit="1" customWidth="1"/>
    <col min="256" max="256" width="34" customWidth="1"/>
    <col min="257" max="257" width="12.7109375" customWidth="1"/>
    <col min="258" max="258" width="13.140625" customWidth="1"/>
    <col min="259" max="259" width="0" hidden="1" customWidth="1"/>
    <col min="260" max="260" width="11" customWidth="1"/>
    <col min="261" max="262" width="12.85546875" customWidth="1"/>
    <col min="263" max="263" width="1.85546875" customWidth="1"/>
    <col min="264" max="264" width="0" hidden="1" customWidth="1"/>
    <col min="265" max="265" width="36.5703125" customWidth="1"/>
    <col min="266" max="266" width="6.42578125" customWidth="1"/>
    <col min="511" max="511" width="13.5703125" bestFit="1" customWidth="1"/>
    <col min="512" max="512" width="34" customWidth="1"/>
    <col min="513" max="513" width="12.7109375" customWidth="1"/>
    <col min="514" max="514" width="13.140625" customWidth="1"/>
    <col min="515" max="515" width="0" hidden="1" customWidth="1"/>
    <col min="516" max="516" width="11" customWidth="1"/>
    <col min="517" max="518" width="12.85546875" customWidth="1"/>
    <col min="519" max="519" width="1.85546875" customWidth="1"/>
    <col min="520" max="520" width="0" hidden="1" customWidth="1"/>
    <col min="521" max="521" width="36.5703125" customWidth="1"/>
    <col min="522" max="522" width="6.42578125" customWidth="1"/>
    <col min="767" max="767" width="13.5703125" bestFit="1" customWidth="1"/>
    <col min="768" max="768" width="34" customWidth="1"/>
    <col min="769" max="769" width="12.7109375" customWidth="1"/>
    <col min="770" max="770" width="13.140625" customWidth="1"/>
    <col min="771" max="771" width="0" hidden="1" customWidth="1"/>
    <col min="772" max="772" width="11" customWidth="1"/>
    <col min="773" max="774" width="12.85546875" customWidth="1"/>
    <col min="775" max="775" width="1.85546875" customWidth="1"/>
    <col min="776" max="776" width="0" hidden="1" customWidth="1"/>
    <col min="777" max="777" width="36.5703125" customWidth="1"/>
    <col min="778" max="778" width="6.42578125" customWidth="1"/>
    <col min="1023" max="1023" width="13.5703125" bestFit="1" customWidth="1"/>
    <col min="1024" max="1024" width="34" customWidth="1"/>
    <col min="1025" max="1025" width="12.7109375" customWidth="1"/>
    <col min="1026" max="1026" width="13.140625" customWidth="1"/>
    <col min="1027" max="1027" width="0" hidden="1" customWidth="1"/>
    <col min="1028" max="1028" width="11" customWidth="1"/>
    <col min="1029" max="1030" width="12.85546875" customWidth="1"/>
    <col min="1031" max="1031" width="1.85546875" customWidth="1"/>
    <col min="1032" max="1032" width="0" hidden="1" customWidth="1"/>
    <col min="1033" max="1033" width="36.5703125" customWidth="1"/>
    <col min="1034" max="1034" width="6.42578125" customWidth="1"/>
    <col min="1279" max="1279" width="13.5703125" bestFit="1" customWidth="1"/>
    <col min="1280" max="1280" width="34" customWidth="1"/>
    <col min="1281" max="1281" width="12.7109375" customWidth="1"/>
    <col min="1282" max="1282" width="13.140625" customWidth="1"/>
    <col min="1283" max="1283" width="0" hidden="1" customWidth="1"/>
    <col min="1284" max="1284" width="11" customWidth="1"/>
    <col min="1285" max="1286" width="12.85546875" customWidth="1"/>
    <col min="1287" max="1287" width="1.85546875" customWidth="1"/>
    <col min="1288" max="1288" width="0" hidden="1" customWidth="1"/>
    <col min="1289" max="1289" width="36.5703125" customWidth="1"/>
    <col min="1290" max="1290" width="6.42578125" customWidth="1"/>
    <col min="1535" max="1535" width="13.5703125" bestFit="1" customWidth="1"/>
    <col min="1536" max="1536" width="34" customWidth="1"/>
    <col min="1537" max="1537" width="12.7109375" customWidth="1"/>
    <col min="1538" max="1538" width="13.140625" customWidth="1"/>
    <col min="1539" max="1539" width="0" hidden="1" customWidth="1"/>
    <col min="1540" max="1540" width="11" customWidth="1"/>
    <col min="1541" max="1542" width="12.85546875" customWidth="1"/>
    <col min="1543" max="1543" width="1.85546875" customWidth="1"/>
    <col min="1544" max="1544" width="0" hidden="1" customWidth="1"/>
    <col min="1545" max="1545" width="36.5703125" customWidth="1"/>
    <col min="1546" max="1546" width="6.42578125" customWidth="1"/>
    <col min="1791" max="1791" width="13.5703125" bestFit="1" customWidth="1"/>
    <col min="1792" max="1792" width="34" customWidth="1"/>
    <col min="1793" max="1793" width="12.7109375" customWidth="1"/>
    <col min="1794" max="1794" width="13.140625" customWidth="1"/>
    <col min="1795" max="1795" width="0" hidden="1" customWidth="1"/>
    <col min="1796" max="1796" width="11" customWidth="1"/>
    <col min="1797" max="1798" width="12.85546875" customWidth="1"/>
    <col min="1799" max="1799" width="1.85546875" customWidth="1"/>
    <col min="1800" max="1800" width="0" hidden="1" customWidth="1"/>
    <col min="1801" max="1801" width="36.5703125" customWidth="1"/>
    <col min="1802" max="1802" width="6.42578125" customWidth="1"/>
    <col min="2047" max="2047" width="13.5703125" bestFit="1" customWidth="1"/>
    <col min="2048" max="2048" width="34" customWidth="1"/>
    <col min="2049" max="2049" width="12.7109375" customWidth="1"/>
    <col min="2050" max="2050" width="13.140625" customWidth="1"/>
    <col min="2051" max="2051" width="0" hidden="1" customWidth="1"/>
    <col min="2052" max="2052" width="11" customWidth="1"/>
    <col min="2053" max="2054" width="12.85546875" customWidth="1"/>
    <col min="2055" max="2055" width="1.85546875" customWidth="1"/>
    <col min="2056" max="2056" width="0" hidden="1" customWidth="1"/>
    <col min="2057" max="2057" width="36.5703125" customWidth="1"/>
    <col min="2058" max="2058" width="6.42578125" customWidth="1"/>
    <col min="2303" max="2303" width="13.5703125" bestFit="1" customWidth="1"/>
    <col min="2304" max="2304" width="34" customWidth="1"/>
    <col min="2305" max="2305" width="12.7109375" customWidth="1"/>
    <col min="2306" max="2306" width="13.140625" customWidth="1"/>
    <col min="2307" max="2307" width="0" hidden="1" customWidth="1"/>
    <col min="2308" max="2308" width="11" customWidth="1"/>
    <col min="2309" max="2310" width="12.85546875" customWidth="1"/>
    <col min="2311" max="2311" width="1.85546875" customWidth="1"/>
    <col min="2312" max="2312" width="0" hidden="1" customWidth="1"/>
    <col min="2313" max="2313" width="36.5703125" customWidth="1"/>
    <col min="2314" max="2314" width="6.42578125" customWidth="1"/>
    <col min="2559" max="2559" width="13.5703125" bestFit="1" customWidth="1"/>
    <col min="2560" max="2560" width="34" customWidth="1"/>
    <col min="2561" max="2561" width="12.7109375" customWidth="1"/>
    <col min="2562" max="2562" width="13.140625" customWidth="1"/>
    <col min="2563" max="2563" width="0" hidden="1" customWidth="1"/>
    <col min="2564" max="2564" width="11" customWidth="1"/>
    <col min="2565" max="2566" width="12.85546875" customWidth="1"/>
    <col min="2567" max="2567" width="1.85546875" customWidth="1"/>
    <col min="2568" max="2568" width="0" hidden="1" customWidth="1"/>
    <col min="2569" max="2569" width="36.5703125" customWidth="1"/>
    <col min="2570" max="2570" width="6.42578125" customWidth="1"/>
    <col min="2815" max="2815" width="13.5703125" bestFit="1" customWidth="1"/>
    <col min="2816" max="2816" width="34" customWidth="1"/>
    <col min="2817" max="2817" width="12.7109375" customWidth="1"/>
    <col min="2818" max="2818" width="13.140625" customWidth="1"/>
    <col min="2819" max="2819" width="0" hidden="1" customWidth="1"/>
    <col min="2820" max="2820" width="11" customWidth="1"/>
    <col min="2821" max="2822" width="12.85546875" customWidth="1"/>
    <col min="2823" max="2823" width="1.85546875" customWidth="1"/>
    <col min="2824" max="2824" width="0" hidden="1" customWidth="1"/>
    <col min="2825" max="2825" width="36.5703125" customWidth="1"/>
    <col min="2826" max="2826" width="6.42578125" customWidth="1"/>
    <col min="3071" max="3071" width="13.5703125" bestFit="1" customWidth="1"/>
    <col min="3072" max="3072" width="34" customWidth="1"/>
    <col min="3073" max="3073" width="12.7109375" customWidth="1"/>
    <col min="3074" max="3074" width="13.140625" customWidth="1"/>
    <col min="3075" max="3075" width="0" hidden="1" customWidth="1"/>
    <col min="3076" max="3076" width="11" customWidth="1"/>
    <col min="3077" max="3078" width="12.85546875" customWidth="1"/>
    <col min="3079" max="3079" width="1.85546875" customWidth="1"/>
    <col min="3080" max="3080" width="0" hidden="1" customWidth="1"/>
    <col min="3081" max="3081" width="36.5703125" customWidth="1"/>
    <col min="3082" max="3082" width="6.42578125" customWidth="1"/>
    <col min="3327" max="3327" width="13.5703125" bestFit="1" customWidth="1"/>
    <col min="3328" max="3328" width="34" customWidth="1"/>
    <col min="3329" max="3329" width="12.7109375" customWidth="1"/>
    <col min="3330" max="3330" width="13.140625" customWidth="1"/>
    <col min="3331" max="3331" width="0" hidden="1" customWidth="1"/>
    <col min="3332" max="3332" width="11" customWidth="1"/>
    <col min="3333" max="3334" width="12.85546875" customWidth="1"/>
    <col min="3335" max="3335" width="1.85546875" customWidth="1"/>
    <col min="3336" max="3336" width="0" hidden="1" customWidth="1"/>
    <col min="3337" max="3337" width="36.5703125" customWidth="1"/>
    <col min="3338" max="3338" width="6.42578125" customWidth="1"/>
    <col min="3583" max="3583" width="13.5703125" bestFit="1" customWidth="1"/>
    <col min="3584" max="3584" width="34" customWidth="1"/>
    <col min="3585" max="3585" width="12.7109375" customWidth="1"/>
    <col min="3586" max="3586" width="13.140625" customWidth="1"/>
    <col min="3587" max="3587" width="0" hidden="1" customWidth="1"/>
    <col min="3588" max="3588" width="11" customWidth="1"/>
    <col min="3589" max="3590" width="12.85546875" customWidth="1"/>
    <col min="3591" max="3591" width="1.85546875" customWidth="1"/>
    <col min="3592" max="3592" width="0" hidden="1" customWidth="1"/>
    <col min="3593" max="3593" width="36.5703125" customWidth="1"/>
    <col min="3594" max="3594" width="6.42578125" customWidth="1"/>
    <col min="3839" max="3839" width="13.5703125" bestFit="1" customWidth="1"/>
    <col min="3840" max="3840" width="34" customWidth="1"/>
    <col min="3841" max="3841" width="12.7109375" customWidth="1"/>
    <col min="3842" max="3842" width="13.140625" customWidth="1"/>
    <col min="3843" max="3843" width="0" hidden="1" customWidth="1"/>
    <col min="3844" max="3844" width="11" customWidth="1"/>
    <col min="3845" max="3846" width="12.85546875" customWidth="1"/>
    <col min="3847" max="3847" width="1.85546875" customWidth="1"/>
    <col min="3848" max="3848" width="0" hidden="1" customWidth="1"/>
    <col min="3849" max="3849" width="36.5703125" customWidth="1"/>
    <col min="3850" max="3850" width="6.42578125" customWidth="1"/>
    <col min="4095" max="4095" width="13.5703125" bestFit="1" customWidth="1"/>
    <col min="4096" max="4096" width="34" customWidth="1"/>
    <col min="4097" max="4097" width="12.7109375" customWidth="1"/>
    <col min="4098" max="4098" width="13.140625" customWidth="1"/>
    <col min="4099" max="4099" width="0" hidden="1" customWidth="1"/>
    <col min="4100" max="4100" width="11" customWidth="1"/>
    <col min="4101" max="4102" width="12.85546875" customWidth="1"/>
    <col min="4103" max="4103" width="1.85546875" customWidth="1"/>
    <col min="4104" max="4104" width="0" hidden="1" customWidth="1"/>
    <col min="4105" max="4105" width="36.5703125" customWidth="1"/>
    <col min="4106" max="4106" width="6.42578125" customWidth="1"/>
    <col min="4351" max="4351" width="13.5703125" bestFit="1" customWidth="1"/>
    <col min="4352" max="4352" width="34" customWidth="1"/>
    <col min="4353" max="4353" width="12.7109375" customWidth="1"/>
    <col min="4354" max="4354" width="13.140625" customWidth="1"/>
    <col min="4355" max="4355" width="0" hidden="1" customWidth="1"/>
    <col min="4356" max="4356" width="11" customWidth="1"/>
    <col min="4357" max="4358" width="12.85546875" customWidth="1"/>
    <col min="4359" max="4359" width="1.85546875" customWidth="1"/>
    <col min="4360" max="4360" width="0" hidden="1" customWidth="1"/>
    <col min="4361" max="4361" width="36.5703125" customWidth="1"/>
    <col min="4362" max="4362" width="6.42578125" customWidth="1"/>
    <col min="4607" max="4607" width="13.5703125" bestFit="1" customWidth="1"/>
    <col min="4608" max="4608" width="34" customWidth="1"/>
    <col min="4609" max="4609" width="12.7109375" customWidth="1"/>
    <col min="4610" max="4610" width="13.140625" customWidth="1"/>
    <col min="4611" max="4611" width="0" hidden="1" customWidth="1"/>
    <col min="4612" max="4612" width="11" customWidth="1"/>
    <col min="4613" max="4614" width="12.85546875" customWidth="1"/>
    <col min="4615" max="4615" width="1.85546875" customWidth="1"/>
    <col min="4616" max="4616" width="0" hidden="1" customWidth="1"/>
    <col min="4617" max="4617" width="36.5703125" customWidth="1"/>
    <col min="4618" max="4618" width="6.42578125" customWidth="1"/>
    <col min="4863" max="4863" width="13.5703125" bestFit="1" customWidth="1"/>
    <col min="4864" max="4864" width="34" customWidth="1"/>
    <col min="4865" max="4865" width="12.7109375" customWidth="1"/>
    <col min="4866" max="4866" width="13.140625" customWidth="1"/>
    <col min="4867" max="4867" width="0" hidden="1" customWidth="1"/>
    <col min="4868" max="4868" width="11" customWidth="1"/>
    <col min="4869" max="4870" width="12.85546875" customWidth="1"/>
    <col min="4871" max="4871" width="1.85546875" customWidth="1"/>
    <col min="4872" max="4872" width="0" hidden="1" customWidth="1"/>
    <col min="4873" max="4873" width="36.5703125" customWidth="1"/>
    <col min="4874" max="4874" width="6.42578125" customWidth="1"/>
    <col min="5119" max="5119" width="13.5703125" bestFit="1" customWidth="1"/>
    <col min="5120" max="5120" width="34" customWidth="1"/>
    <col min="5121" max="5121" width="12.7109375" customWidth="1"/>
    <col min="5122" max="5122" width="13.140625" customWidth="1"/>
    <col min="5123" max="5123" width="0" hidden="1" customWidth="1"/>
    <col min="5124" max="5124" width="11" customWidth="1"/>
    <col min="5125" max="5126" width="12.85546875" customWidth="1"/>
    <col min="5127" max="5127" width="1.85546875" customWidth="1"/>
    <col min="5128" max="5128" width="0" hidden="1" customWidth="1"/>
    <col min="5129" max="5129" width="36.5703125" customWidth="1"/>
    <col min="5130" max="5130" width="6.42578125" customWidth="1"/>
    <col min="5375" max="5375" width="13.5703125" bestFit="1" customWidth="1"/>
    <col min="5376" max="5376" width="34" customWidth="1"/>
    <col min="5377" max="5377" width="12.7109375" customWidth="1"/>
    <col min="5378" max="5378" width="13.140625" customWidth="1"/>
    <col min="5379" max="5379" width="0" hidden="1" customWidth="1"/>
    <col min="5380" max="5380" width="11" customWidth="1"/>
    <col min="5381" max="5382" width="12.85546875" customWidth="1"/>
    <col min="5383" max="5383" width="1.85546875" customWidth="1"/>
    <col min="5384" max="5384" width="0" hidden="1" customWidth="1"/>
    <col min="5385" max="5385" width="36.5703125" customWidth="1"/>
    <col min="5386" max="5386" width="6.42578125" customWidth="1"/>
    <col min="5631" max="5631" width="13.5703125" bestFit="1" customWidth="1"/>
    <col min="5632" max="5632" width="34" customWidth="1"/>
    <col min="5633" max="5633" width="12.7109375" customWidth="1"/>
    <col min="5634" max="5634" width="13.140625" customWidth="1"/>
    <col min="5635" max="5635" width="0" hidden="1" customWidth="1"/>
    <col min="5636" max="5636" width="11" customWidth="1"/>
    <col min="5637" max="5638" width="12.85546875" customWidth="1"/>
    <col min="5639" max="5639" width="1.85546875" customWidth="1"/>
    <col min="5640" max="5640" width="0" hidden="1" customWidth="1"/>
    <col min="5641" max="5641" width="36.5703125" customWidth="1"/>
    <col min="5642" max="5642" width="6.42578125" customWidth="1"/>
    <col min="5887" max="5887" width="13.5703125" bestFit="1" customWidth="1"/>
    <col min="5888" max="5888" width="34" customWidth="1"/>
    <col min="5889" max="5889" width="12.7109375" customWidth="1"/>
    <col min="5890" max="5890" width="13.140625" customWidth="1"/>
    <col min="5891" max="5891" width="0" hidden="1" customWidth="1"/>
    <col min="5892" max="5892" width="11" customWidth="1"/>
    <col min="5893" max="5894" width="12.85546875" customWidth="1"/>
    <col min="5895" max="5895" width="1.85546875" customWidth="1"/>
    <col min="5896" max="5896" width="0" hidden="1" customWidth="1"/>
    <col min="5897" max="5897" width="36.5703125" customWidth="1"/>
    <col min="5898" max="5898" width="6.42578125" customWidth="1"/>
    <col min="6143" max="6143" width="13.5703125" bestFit="1" customWidth="1"/>
    <col min="6144" max="6144" width="34" customWidth="1"/>
    <col min="6145" max="6145" width="12.7109375" customWidth="1"/>
    <col min="6146" max="6146" width="13.140625" customWidth="1"/>
    <col min="6147" max="6147" width="0" hidden="1" customWidth="1"/>
    <col min="6148" max="6148" width="11" customWidth="1"/>
    <col min="6149" max="6150" width="12.85546875" customWidth="1"/>
    <col min="6151" max="6151" width="1.85546875" customWidth="1"/>
    <col min="6152" max="6152" width="0" hidden="1" customWidth="1"/>
    <col min="6153" max="6153" width="36.5703125" customWidth="1"/>
    <col min="6154" max="6154" width="6.42578125" customWidth="1"/>
    <col min="6399" max="6399" width="13.5703125" bestFit="1" customWidth="1"/>
    <col min="6400" max="6400" width="34" customWidth="1"/>
    <col min="6401" max="6401" width="12.7109375" customWidth="1"/>
    <col min="6402" max="6402" width="13.140625" customWidth="1"/>
    <col min="6403" max="6403" width="0" hidden="1" customWidth="1"/>
    <col min="6404" max="6404" width="11" customWidth="1"/>
    <col min="6405" max="6406" width="12.85546875" customWidth="1"/>
    <col min="6407" max="6407" width="1.85546875" customWidth="1"/>
    <col min="6408" max="6408" width="0" hidden="1" customWidth="1"/>
    <col min="6409" max="6409" width="36.5703125" customWidth="1"/>
    <col min="6410" max="6410" width="6.42578125" customWidth="1"/>
    <col min="6655" max="6655" width="13.5703125" bestFit="1" customWidth="1"/>
    <col min="6656" max="6656" width="34" customWidth="1"/>
    <col min="6657" max="6657" width="12.7109375" customWidth="1"/>
    <col min="6658" max="6658" width="13.140625" customWidth="1"/>
    <col min="6659" max="6659" width="0" hidden="1" customWidth="1"/>
    <col min="6660" max="6660" width="11" customWidth="1"/>
    <col min="6661" max="6662" width="12.85546875" customWidth="1"/>
    <col min="6663" max="6663" width="1.85546875" customWidth="1"/>
    <col min="6664" max="6664" width="0" hidden="1" customWidth="1"/>
    <col min="6665" max="6665" width="36.5703125" customWidth="1"/>
    <col min="6666" max="6666" width="6.42578125" customWidth="1"/>
    <col min="6911" max="6911" width="13.5703125" bestFit="1" customWidth="1"/>
    <col min="6912" max="6912" width="34" customWidth="1"/>
    <col min="6913" max="6913" width="12.7109375" customWidth="1"/>
    <col min="6914" max="6914" width="13.140625" customWidth="1"/>
    <col min="6915" max="6915" width="0" hidden="1" customWidth="1"/>
    <col min="6916" max="6916" width="11" customWidth="1"/>
    <col min="6917" max="6918" width="12.85546875" customWidth="1"/>
    <col min="6919" max="6919" width="1.85546875" customWidth="1"/>
    <col min="6920" max="6920" width="0" hidden="1" customWidth="1"/>
    <col min="6921" max="6921" width="36.5703125" customWidth="1"/>
    <col min="6922" max="6922" width="6.42578125" customWidth="1"/>
    <col min="7167" max="7167" width="13.5703125" bestFit="1" customWidth="1"/>
    <col min="7168" max="7168" width="34" customWidth="1"/>
    <col min="7169" max="7169" width="12.7109375" customWidth="1"/>
    <col min="7170" max="7170" width="13.140625" customWidth="1"/>
    <col min="7171" max="7171" width="0" hidden="1" customWidth="1"/>
    <col min="7172" max="7172" width="11" customWidth="1"/>
    <col min="7173" max="7174" width="12.85546875" customWidth="1"/>
    <col min="7175" max="7175" width="1.85546875" customWidth="1"/>
    <col min="7176" max="7176" width="0" hidden="1" customWidth="1"/>
    <col min="7177" max="7177" width="36.5703125" customWidth="1"/>
    <col min="7178" max="7178" width="6.42578125" customWidth="1"/>
    <col min="7423" max="7423" width="13.5703125" bestFit="1" customWidth="1"/>
    <col min="7424" max="7424" width="34" customWidth="1"/>
    <col min="7425" max="7425" width="12.7109375" customWidth="1"/>
    <col min="7426" max="7426" width="13.140625" customWidth="1"/>
    <col min="7427" max="7427" width="0" hidden="1" customWidth="1"/>
    <col min="7428" max="7428" width="11" customWidth="1"/>
    <col min="7429" max="7430" width="12.85546875" customWidth="1"/>
    <col min="7431" max="7431" width="1.85546875" customWidth="1"/>
    <col min="7432" max="7432" width="0" hidden="1" customWidth="1"/>
    <col min="7433" max="7433" width="36.5703125" customWidth="1"/>
    <col min="7434" max="7434" width="6.42578125" customWidth="1"/>
    <col min="7679" max="7679" width="13.5703125" bestFit="1" customWidth="1"/>
    <col min="7680" max="7680" width="34" customWidth="1"/>
    <col min="7681" max="7681" width="12.7109375" customWidth="1"/>
    <col min="7682" max="7682" width="13.140625" customWidth="1"/>
    <col min="7683" max="7683" width="0" hidden="1" customWidth="1"/>
    <col min="7684" max="7684" width="11" customWidth="1"/>
    <col min="7685" max="7686" width="12.85546875" customWidth="1"/>
    <col min="7687" max="7687" width="1.85546875" customWidth="1"/>
    <col min="7688" max="7688" width="0" hidden="1" customWidth="1"/>
    <col min="7689" max="7689" width="36.5703125" customWidth="1"/>
    <col min="7690" max="7690" width="6.42578125" customWidth="1"/>
    <col min="7935" max="7935" width="13.5703125" bestFit="1" customWidth="1"/>
    <col min="7936" max="7936" width="34" customWidth="1"/>
    <col min="7937" max="7937" width="12.7109375" customWidth="1"/>
    <col min="7938" max="7938" width="13.140625" customWidth="1"/>
    <col min="7939" max="7939" width="0" hidden="1" customWidth="1"/>
    <col min="7940" max="7940" width="11" customWidth="1"/>
    <col min="7941" max="7942" width="12.85546875" customWidth="1"/>
    <col min="7943" max="7943" width="1.85546875" customWidth="1"/>
    <col min="7944" max="7944" width="0" hidden="1" customWidth="1"/>
    <col min="7945" max="7945" width="36.5703125" customWidth="1"/>
    <col min="7946" max="7946" width="6.42578125" customWidth="1"/>
    <col min="8191" max="8191" width="13.5703125" bestFit="1" customWidth="1"/>
    <col min="8192" max="8192" width="34" customWidth="1"/>
    <col min="8193" max="8193" width="12.7109375" customWidth="1"/>
    <col min="8194" max="8194" width="13.140625" customWidth="1"/>
    <col min="8195" max="8195" width="0" hidden="1" customWidth="1"/>
    <col min="8196" max="8196" width="11" customWidth="1"/>
    <col min="8197" max="8198" width="12.85546875" customWidth="1"/>
    <col min="8199" max="8199" width="1.85546875" customWidth="1"/>
    <col min="8200" max="8200" width="0" hidden="1" customWidth="1"/>
    <col min="8201" max="8201" width="36.5703125" customWidth="1"/>
    <col min="8202" max="8202" width="6.42578125" customWidth="1"/>
    <col min="8447" max="8447" width="13.5703125" bestFit="1" customWidth="1"/>
    <col min="8448" max="8448" width="34" customWidth="1"/>
    <col min="8449" max="8449" width="12.7109375" customWidth="1"/>
    <col min="8450" max="8450" width="13.140625" customWidth="1"/>
    <col min="8451" max="8451" width="0" hidden="1" customWidth="1"/>
    <col min="8452" max="8452" width="11" customWidth="1"/>
    <col min="8453" max="8454" width="12.85546875" customWidth="1"/>
    <col min="8455" max="8455" width="1.85546875" customWidth="1"/>
    <col min="8456" max="8456" width="0" hidden="1" customWidth="1"/>
    <col min="8457" max="8457" width="36.5703125" customWidth="1"/>
    <col min="8458" max="8458" width="6.42578125" customWidth="1"/>
    <col min="8703" max="8703" width="13.5703125" bestFit="1" customWidth="1"/>
    <col min="8704" max="8704" width="34" customWidth="1"/>
    <col min="8705" max="8705" width="12.7109375" customWidth="1"/>
    <col min="8706" max="8706" width="13.140625" customWidth="1"/>
    <col min="8707" max="8707" width="0" hidden="1" customWidth="1"/>
    <col min="8708" max="8708" width="11" customWidth="1"/>
    <col min="8709" max="8710" width="12.85546875" customWidth="1"/>
    <col min="8711" max="8711" width="1.85546875" customWidth="1"/>
    <col min="8712" max="8712" width="0" hidden="1" customWidth="1"/>
    <col min="8713" max="8713" width="36.5703125" customWidth="1"/>
    <col min="8714" max="8714" width="6.42578125" customWidth="1"/>
    <col min="8959" max="8959" width="13.5703125" bestFit="1" customWidth="1"/>
    <col min="8960" max="8960" width="34" customWidth="1"/>
    <col min="8961" max="8961" width="12.7109375" customWidth="1"/>
    <col min="8962" max="8962" width="13.140625" customWidth="1"/>
    <col min="8963" max="8963" width="0" hidden="1" customWidth="1"/>
    <col min="8964" max="8964" width="11" customWidth="1"/>
    <col min="8965" max="8966" width="12.85546875" customWidth="1"/>
    <col min="8967" max="8967" width="1.85546875" customWidth="1"/>
    <col min="8968" max="8968" width="0" hidden="1" customWidth="1"/>
    <col min="8969" max="8969" width="36.5703125" customWidth="1"/>
    <col min="8970" max="8970" width="6.42578125" customWidth="1"/>
    <col min="9215" max="9215" width="13.5703125" bestFit="1" customWidth="1"/>
    <col min="9216" max="9216" width="34" customWidth="1"/>
    <col min="9217" max="9217" width="12.7109375" customWidth="1"/>
    <col min="9218" max="9218" width="13.140625" customWidth="1"/>
    <col min="9219" max="9219" width="0" hidden="1" customWidth="1"/>
    <col min="9220" max="9220" width="11" customWidth="1"/>
    <col min="9221" max="9222" width="12.85546875" customWidth="1"/>
    <col min="9223" max="9223" width="1.85546875" customWidth="1"/>
    <col min="9224" max="9224" width="0" hidden="1" customWidth="1"/>
    <col min="9225" max="9225" width="36.5703125" customWidth="1"/>
    <col min="9226" max="9226" width="6.42578125" customWidth="1"/>
    <col min="9471" max="9471" width="13.5703125" bestFit="1" customWidth="1"/>
    <col min="9472" max="9472" width="34" customWidth="1"/>
    <col min="9473" max="9473" width="12.7109375" customWidth="1"/>
    <col min="9474" max="9474" width="13.140625" customWidth="1"/>
    <col min="9475" max="9475" width="0" hidden="1" customWidth="1"/>
    <col min="9476" max="9476" width="11" customWidth="1"/>
    <col min="9477" max="9478" width="12.85546875" customWidth="1"/>
    <col min="9479" max="9479" width="1.85546875" customWidth="1"/>
    <col min="9480" max="9480" width="0" hidden="1" customWidth="1"/>
    <col min="9481" max="9481" width="36.5703125" customWidth="1"/>
    <col min="9482" max="9482" width="6.42578125" customWidth="1"/>
    <col min="9727" max="9727" width="13.5703125" bestFit="1" customWidth="1"/>
    <col min="9728" max="9728" width="34" customWidth="1"/>
    <col min="9729" max="9729" width="12.7109375" customWidth="1"/>
    <col min="9730" max="9730" width="13.140625" customWidth="1"/>
    <col min="9731" max="9731" width="0" hidden="1" customWidth="1"/>
    <col min="9732" max="9732" width="11" customWidth="1"/>
    <col min="9733" max="9734" width="12.85546875" customWidth="1"/>
    <col min="9735" max="9735" width="1.85546875" customWidth="1"/>
    <col min="9736" max="9736" width="0" hidden="1" customWidth="1"/>
    <col min="9737" max="9737" width="36.5703125" customWidth="1"/>
    <col min="9738" max="9738" width="6.42578125" customWidth="1"/>
    <col min="9983" max="9983" width="13.5703125" bestFit="1" customWidth="1"/>
    <col min="9984" max="9984" width="34" customWidth="1"/>
    <col min="9985" max="9985" width="12.7109375" customWidth="1"/>
    <col min="9986" max="9986" width="13.140625" customWidth="1"/>
    <col min="9987" max="9987" width="0" hidden="1" customWidth="1"/>
    <col min="9988" max="9988" width="11" customWidth="1"/>
    <col min="9989" max="9990" width="12.85546875" customWidth="1"/>
    <col min="9991" max="9991" width="1.85546875" customWidth="1"/>
    <col min="9992" max="9992" width="0" hidden="1" customWidth="1"/>
    <col min="9993" max="9993" width="36.5703125" customWidth="1"/>
    <col min="9994" max="9994" width="6.42578125" customWidth="1"/>
    <col min="10239" max="10239" width="13.5703125" bestFit="1" customWidth="1"/>
    <col min="10240" max="10240" width="34" customWidth="1"/>
    <col min="10241" max="10241" width="12.7109375" customWidth="1"/>
    <col min="10242" max="10242" width="13.140625" customWidth="1"/>
    <col min="10243" max="10243" width="0" hidden="1" customWidth="1"/>
    <col min="10244" max="10244" width="11" customWidth="1"/>
    <col min="10245" max="10246" width="12.85546875" customWidth="1"/>
    <col min="10247" max="10247" width="1.85546875" customWidth="1"/>
    <col min="10248" max="10248" width="0" hidden="1" customWidth="1"/>
    <col min="10249" max="10249" width="36.5703125" customWidth="1"/>
    <col min="10250" max="10250" width="6.42578125" customWidth="1"/>
    <col min="10495" max="10495" width="13.5703125" bestFit="1" customWidth="1"/>
    <col min="10496" max="10496" width="34" customWidth="1"/>
    <col min="10497" max="10497" width="12.7109375" customWidth="1"/>
    <col min="10498" max="10498" width="13.140625" customWidth="1"/>
    <col min="10499" max="10499" width="0" hidden="1" customWidth="1"/>
    <col min="10500" max="10500" width="11" customWidth="1"/>
    <col min="10501" max="10502" width="12.85546875" customWidth="1"/>
    <col min="10503" max="10503" width="1.85546875" customWidth="1"/>
    <col min="10504" max="10504" width="0" hidden="1" customWidth="1"/>
    <col min="10505" max="10505" width="36.5703125" customWidth="1"/>
    <col min="10506" max="10506" width="6.42578125" customWidth="1"/>
    <col min="10751" max="10751" width="13.5703125" bestFit="1" customWidth="1"/>
    <col min="10752" max="10752" width="34" customWidth="1"/>
    <col min="10753" max="10753" width="12.7109375" customWidth="1"/>
    <col min="10754" max="10754" width="13.140625" customWidth="1"/>
    <col min="10755" max="10755" width="0" hidden="1" customWidth="1"/>
    <col min="10756" max="10756" width="11" customWidth="1"/>
    <col min="10757" max="10758" width="12.85546875" customWidth="1"/>
    <col min="10759" max="10759" width="1.85546875" customWidth="1"/>
    <col min="10760" max="10760" width="0" hidden="1" customWidth="1"/>
    <col min="10761" max="10761" width="36.5703125" customWidth="1"/>
    <col min="10762" max="10762" width="6.42578125" customWidth="1"/>
    <col min="11007" max="11007" width="13.5703125" bestFit="1" customWidth="1"/>
    <col min="11008" max="11008" width="34" customWidth="1"/>
    <col min="11009" max="11009" width="12.7109375" customWidth="1"/>
    <col min="11010" max="11010" width="13.140625" customWidth="1"/>
    <col min="11011" max="11011" width="0" hidden="1" customWidth="1"/>
    <col min="11012" max="11012" width="11" customWidth="1"/>
    <col min="11013" max="11014" width="12.85546875" customWidth="1"/>
    <col min="11015" max="11015" width="1.85546875" customWidth="1"/>
    <col min="11016" max="11016" width="0" hidden="1" customWidth="1"/>
    <col min="11017" max="11017" width="36.5703125" customWidth="1"/>
    <col min="11018" max="11018" width="6.42578125" customWidth="1"/>
    <col min="11263" max="11263" width="13.5703125" bestFit="1" customWidth="1"/>
    <col min="11264" max="11264" width="34" customWidth="1"/>
    <col min="11265" max="11265" width="12.7109375" customWidth="1"/>
    <col min="11266" max="11266" width="13.140625" customWidth="1"/>
    <col min="11267" max="11267" width="0" hidden="1" customWidth="1"/>
    <col min="11268" max="11268" width="11" customWidth="1"/>
    <col min="11269" max="11270" width="12.85546875" customWidth="1"/>
    <col min="11271" max="11271" width="1.85546875" customWidth="1"/>
    <col min="11272" max="11272" width="0" hidden="1" customWidth="1"/>
    <col min="11273" max="11273" width="36.5703125" customWidth="1"/>
    <col min="11274" max="11274" width="6.42578125" customWidth="1"/>
    <col min="11519" max="11519" width="13.5703125" bestFit="1" customWidth="1"/>
    <col min="11520" max="11520" width="34" customWidth="1"/>
    <col min="11521" max="11521" width="12.7109375" customWidth="1"/>
    <col min="11522" max="11522" width="13.140625" customWidth="1"/>
    <col min="11523" max="11523" width="0" hidden="1" customWidth="1"/>
    <col min="11524" max="11524" width="11" customWidth="1"/>
    <col min="11525" max="11526" width="12.85546875" customWidth="1"/>
    <col min="11527" max="11527" width="1.85546875" customWidth="1"/>
    <col min="11528" max="11528" width="0" hidden="1" customWidth="1"/>
    <col min="11529" max="11529" width="36.5703125" customWidth="1"/>
    <col min="11530" max="11530" width="6.42578125" customWidth="1"/>
    <col min="11775" max="11775" width="13.5703125" bestFit="1" customWidth="1"/>
    <col min="11776" max="11776" width="34" customWidth="1"/>
    <col min="11777" max="11777" width="12.7109375" customWidth="1"/>
    <col min="11778" max="11778" width="13.140625" customWidth="1"/>
    <col min="11779" max="11779" width="0" hidden="1" customWidth="1"/>
    <col min="11780" max="11780" width="11" customWidth="1"/>
    <col min="11781" max="11782" width="12.85546875" customWidth="1"/>
    <col min="11783" max="11783" width="1.85546875" customWidth="1"/>
    <col min="11784" max="11784" width="0" hidden="1" customWidth="1"/>
    <col min="11785" max="11785" width="36.5703125" customWidth="1"/>
    <col min="11786" max="11786" width="6.42578125" customWidth="1"/>
    <col min="12031" max="12031" width="13.5703125" bestFit="1" customWidth="1"/>
    <col min="12032" max="12032" width="34" customWidth="1"/>
    <col min="12033" max="12033" width="12.7109375" customWidth="1"/>
    <col min="12034" max="12034" width="13.140625" customWidth="1"/>
    <col min="12035" max="12035" width="0" hidden="1" customWidth="1"/>
    <col min="12036" max="12036" width="11" customWidth="1"/>
    <col min="12037" max="12038" width="12.85546875" customWidth="1"/>
    <col min="12039" max="12039" width="1.85546875" customWidth="1"/>
    <col min="12040" max="12040" width="0" hidden="1" customWidth="1"/>
    <col min="12041" max="12041" width="36.5703125" customWidth="1"/>
    <col min="12042" max="12042" width="6.42578125" customWidth="1"/>
    <col min="12287" max="12287" width="13.5703125" bestFit="1" customWidth="1"/>
    <col min="12288" max="12288" width="34" customWidth="1"/>
    <col min="12289" max="12289" width="12.7109375" customWidth="1"/>
    <col min="12290" max="12290" width="13.140625" customWidth="1"/>
    <col min="12291" max="12291" width="0" hidden="1" customWidth="1"/>
    <col min="12292" max="12292" width="11" customWidth="1"/>
    <col min="12293" max="12294" width="12.85546875" customWidth="1"/>
    <col min="12295" max="12295" width="1.85546875" customWidth="1"/>
    <col min="12296" max="12296" width="0" hidden="1" customWidth="1"/>
    <col min="12297" max="12297" width="36.5703125" customWidth="1"/>
    <col min="12298" max="12298" width="6.42578125" customWidth="1"/>
    <col min="12543" max="12543" width="13.5703125" bestFit="1" customWidth="1"/>
    <col min="12544" max="12544" width="34" customWidth="1"/>
    <col min="12545" max="12545" width="12.7109375" customWidth="1"/>
    <col min="12546" max="12546" width="13.140625" customWidth="1"/>
    <col min="12547" max="12547" width="0" hidden="1" customWidth="1"/>
    <col min="12548" max="12548" width="11" customWidth="1"/>
    <col min="12549" max="12550" width="12.85546875" customWidth="1"/>
    <col min="12551" max="12551" width="1.85546875" customWidth="1"/>
    <col min="12552" max="12552" width="0" hidden="1" customWidth="1"/>
    <col min="12553" max="12553" width="36.5703125" customWidth="1"/>
    <col min="12554" max="12554" width="6.42578125" customWidth="1"/>
    <col min="12799" max="12799" width="13.5703125" bestFit="1" customWidth="1"/>
    <col min="12800" max="12800" width="34" customWidth="1"/>
    <col min="12801" max="12801" width="12.7109375" customWidth="1"/>
    <col min="12802" max="12802" width="13.140625" customWidth="1"/>
    <col min="12803" max="12803" width="0" hidden="1" customWidth="1"/>
    <col min="12804" max="12804" width="11" customWidth="1"/>
    <col min="12805" max="12806" width="12.85546875" customWidth="1"/>
    <col min="12807" max="12807" width="1.85546875" customWidth="1"/>
    <col min="12808" max="12808" width="0" hidden="1" customWidth="1"/>
    <col min="12809" max="12809" width="36.5703125" customWidth="1"/>
    <col min="12810" max="12810" width="6.42578125" customWidth="1"/>
    <col min="13055" max="13055" width="13.5703125" bestFit="1" customWidth="1"/>
    <col min="13056" max="13056" width="34" customWidth="1"/>
    <col min="13057" max="13057" width="12.7109375" customWidth="1"/>
    <col min="13058" max="13058" width="13.140625" customWidth="1"/>
    <col min="13059" max="13059" width="0" hidden="1" customWidth="1"/>
    <col min="13060" max="13060" width="11" customWidth="1"/>
    <col min="13061" max="13062" width="12.85546875" customWidth="1"/>
    <col min="13063" max="13063" width="1.85546875" customWidth="1"/>
    <col min="13064" max="13064" width="0" hidden="1" customWidth="1"/>
    <col min="13065" max="13065" width="36.5703125" customWidth="1"/>
    <col min="13066" max="13066" width="6.42578125" customWidth="1"/>
    <col min="13311" max="13311" width="13.5703125" bestFit="1" customWidth="1"/>
    <col min="13312" max="13312" width="34" customWidth="1"/>
    <col min="13313" max="13313" width="12.7109375" customWidth="1"/>
    <col min="13314" max="13314" width="13.140625" customWidth="1"/>
    <col min="13315" max="13315" width="0" hidden="1" customWidth="1"/>
    <col min="13316" max="13316" width="11" customWidth="1"/>
    <col min="13317" max="13318" width="12.85546875" customWidth="1"/>
    <col min="13319" max="13319" width="1.85546875" customWidth="1"/>
    <col min="13320" max="13320" width="0" hidden="1" customWidth="1"/>
    <col min="13321" max="13321" width="36.5703125" customWidth="1"/>
    <col min="13322" max="13322" width="6.42578125" customWidth="1"/>
    <col min="13567" max="13567" width="13.5703125" bestFit="1" customWidth="1"/>
    <col min="13568" max="13568" width="34" customWidth="1"/>
    <col min="13569" max="13569" width="12.7109375" customWidth="1"/>
    <col min="13570" max="13570" width="13.140625" customWidth="1"/>
    <col min="13571" max="13571" width="0" hidden="1" customWidth="1"/>
    <col min="13572" max="13572" width="11" customWidth="1"/>
    <col min="13573" max="13574" width="12.85546875" customWidth="1"/>
    <col min="13575" max="13575" width="1.85546875" customWidth="1"/>
    <col min="13576" max="13576" width="0" hidden="1" customWidth="1"/>
    <col min="13577" max="13577" width="36.5703125" customWidth="1"/>
    <col min="13578" max="13578" width="6.42578125" customWidth="1"/>
    <col min="13823" max="13823" width="13.5703125" bestFit="1" customWidth="1"/>
    <col min="13824" max="13824" width="34" customWidth="1"/>
    <col min="13825" max="13825" width="12.7109375" customWidth="1"/>
    <col min="13826" max="13826" width="13.140625" customWidth="1"/>
    <col min="13827" max="13827" width="0" hidden="1" customWidth="1"/>
    <col min="13828" max="13828" width="11" customWidth="1"/>
    <col min="13829" max="13830" width="12.85546875" customWidth="1"/>
    <col min="13831" max="13831" width="1.85546875" customWidth="1"/>
    <col min="13832" max="13832" width="0" hidden="1" customWidth="1"/>
    <col min="13833" max="13833" width="36.5703125" customWidth="1"/>
    <col min="13834" max="13834" width="6.42578125" customWidth="1"/>
    <col min="14079" max="14079" width="13.5703125" bestFit="1" customWidth="1"/>
    <col min="14080" max="14080" width="34" customWidth="1"/>
    <col min="14081" max="14081" width="12.7109375" customWidth="1"/>
    <col min="14082" max="14082" width="13.140625" customWidth="1"/>
    <col min="14083" max="14083" width="0" hidden="1" customWidth="1"/>
    <col min="14084" max="14084" width="11" customWidth="1"/>
    <col min="14085" max="14086" width="12.85546875" customWidth="1"/>
    <col min="14087" max="14087" width="1.85546875" customWidth="1"/>
    <col min="14088" max="14088" width="0" hidden="1" customWidth="1"/>
    <col min="14089" max="14089" width="36.5703125" customWidth="1"/>
    <col min="14090" max="14090" width="6.42578125" customWidth="1"/>
    <col min="14335" max="14335" width="13.5703125" bestFit="1" customWidth="1"/>
    <col min="14336" max="14336" width="34" customWidth="1"/>
    <col min="14337" max="14337" width="12.7109375" customWidth="1"/>
    <col min="14338" max="14338" width="13.140625" customWidth="1"/>
    <col min="14339" max="14339" width="0" hidden="1" customWidth="1"/>
    <col min="14340" max="14340" width="11" customWidth="1"/>
    <col min="14341" max="14342" width="12.85546875" customWidth="1"/>
    <col min="14343" max="14343" width="1.85546875" customWidth="1"/>
    <col min="14344" max="14344" width="0" hidden="1" customWidth="1"/>
    <col min="14345" max="14345" width="36.5703125" customWidth="1"/>
    <col min="14346" max="14346" width="6.42578125" customWidth="1"/>
    <col min="14591" max="14591" width="13.5703125" bestFit="1" customWidth="1"/>
    <col min="14592" max="14592" width="34" customWidth="1"/>
    <col min="14593" max="14593" width="12.7109375" customWidth="1"/>
    <col min="14594" max="14594" width="13.140625" customWidth="1"/>
    <col min="14595" max="14595" width="0" hidden="1" customWidth="1"/>
    <col min="14596" max="14596" width="11" customWidth="1"/>
    <col min="14597" max="14598" width="12.85546875" customWidth="1"/>
    <col min="14599" max="14599" width="1.85546875" customWidth="1"/>
    <col min="14600" max="14600" width="0" hidden="1" customWidth="1"/>
    <col min="14601" max="14601" width="36.5703125" customWidth="1"/>
    <col min="14602" max="14602" width="6.42578125" customWidth="1"/>
    <col min="14847" max="14847" width="13.5703125" bestFit="1" customWidth="1"/>
    <col min="14848" max="14848" width="34" customWidth="1"/>
    <col min="14849" max="14849" width="12.7109375" customWidth="1"/>
    <col min="14850" max="14850" width="13.140625" customWidth="1"/>
    <col min="14851" max="14851" width="0" hidden="1" customWidth="1"/>
    <col min="14852" max="14852" width="11" customWidth="1"/>
    <col min="14853" max="14854" width="12.85546875" customWidth="1"/>
    <col min="14855" max="14855" width="1.85546875" customWidth="1"/>
    <col min="14856" max="14856" width="0" hidden="1" customWidth="1"/>
    <col min="14857" max="14857" width="36.5703125" customWidth="1"/>
    <col min="14858" max="14858" width="6.42578125" customWidth="1"/>
    <col min="15103" max="15103" width="13.5703125" bestFit="1" customWidth="1"/>
    <col min="15104" max="15104" width="34" customWidth="1"/>
    <col min="15105" max="15105" width="12.7109375" customWidth="1"/>
    <col min="15106" max="15106" width="13.140625" customWidth="1"/>
    <col min="15107" max="15107" width="0" hidden="1" customWidth="1"/>
    <col min="15108" max="15108" width="11" customWidth="1"/>
    <col min="15109" max="15110" width="12.85546875" customWidth="1"/>
    <col min="15111" max="15111" width="1.85546875" customWidth="1"/>
    <col min="15112" max="15112" width="0" hidden="1" customWidth="1"/>
    <col min="15113" max="15113" width="36.5703125" customWidth="1"/>
    <col min="15114" max="15114" width="6.42578125" customWidth="1"/>
    <col min="15359" max="15359" width="13.5703125" bestFit="1" customWidth="1"/>
    <col min="15360" max="15360" width="34" customWidth="1"/>
    <col min="15361" max="15361" width="12.7109375" customWidth="1"/>
    <col min="15362" max="15362" width="13.140625" customWidth="1"/>
    <col min="15363" max="15363" width="0" hidden="1" customWidth="1"/>
    <col min="15364" max="15364" width="11" customWidth="1"/>
    <col min="15365" max="15366" width="12.85546875" customWidth="1"/>
    <col min="15367" max="15367" width="1.85546875" customWidth="1"/>
    <col min="15368" max="15368" width="0" hidden="1" customWidth="1"/>
    <col min="15369" max="15369" width="36.5703125" customWidth="1"/>
    <col min="15370" max="15370" width="6.42578125" customWidth="1"/>
    <col min="15615" max="15615" width="13.5703125" bestFit="1" customWidth="1"/>
    <col min="15616" max="15616" width="34" customWidth="1"/>
    <col min="15617" max="15617" width="12.7109375" customWidth="1"/>
    <col min="15618" max="15618" width="13.140625" customWidth="1"/>
    <col min="15619" max="15619" width="0" hidden="1" customWidth="1"/>
    <col min="15620" max="15620" width="11" customWidth="1"/>
    <col min="15621" max="15622" width="12.85546875" customWidth="1"/>
    <col min="15623" max="15623" width="1.85546875" customWidth="1"/>
    <col min="15624" max="15624" width="0" hidden="1" customWidth="1"/>
    <col min="15625" max="15625" width="36.5703125" customWidth="1"/>
    <col min="15626" max="15626" width="6.42578125" customWidth="1"/>
    <col min="15871" max="15871" width="13.5703125" bestFit="1" customWidth="1"/>
    <col min="15872" max="15872" width="34" customWidth="1"/>
    <col min="15873" max="15873" width="12.7109375" customWidth="1"/>
    <col min="15874" max="15874" width="13.140625" customWidth="1"/>
    <col min="15875" max="15875" width="0" hidden="1" customWidth="1"/>
    <col min="15876" max="15876" width="11" customWidth="1"/>
    <col min="15877" max="15878" width="12.85546875" customWidth="1"/>
    <col min="15879" max="15879" width="1.85546875" customWidth="1"/>
    <col min="15880" max="15880" width="0" hidden="1" customWidth="1"/>
    <col min="15881" max="15881" width="36.5703125" customWidth="1"/>
    <col min="15882" max="15882" width="6.42578125" customWidth="1"/>
    <col min="16127" max="16127" width="13.5703125" bestFit="1" customWidth="1"/>
    <col min="16128" max="16128" width="34" customWidth="1"/>
    <col min="16129" max="16129" width="12.7109375" customWidth="1"/>
    <col min="16130" max="16130" width="13.140625" customWidth="1"/>
    <col min="16131" max="16131" width="0" hidden="1" customWidth="1"/>
    <col min="16132" max="16132" width="11" customWidth="1"/>
    <col min="16133" max="16134" width="12.85546875" customWidth="1"/>
    <col min="16135" max="16135" width="1.85546875" customWidth="1"/>
    <col min="16136" max="16136" width="0" hidden="1" customWidth="1"/>
    <col min="16137" max="16137" width="36.5703125" customWidth="1"/>
    <col min="16138" max="16138" width="6.42578125" customWidth="1"/>
  </cols>
  <sheetData>
    <row r="1" spans="1:27" ht="15.75">
      <c r="E1" s="144" t="s">
        <v>192</v>
      </c>
    </row>
    <row r="2" spans="1:27" ht="15.75">
      <c r="E2" s="144" t="s">
        <v>225</v>
      </c>
      <c r="N2" s="106" t="s">
        <v>11</v>
      </c>
      <c r="O2" s="106" t="s">
        <v>12</v>
      </c>
      <c r="P2" s="106" t="s">
        <v>13</v>
      </c>
      <c r="Q2" s="106" t="s">
        <v>14</v>
      </c>
      <c r="R2" s="106" t="s">
        <v>91</v>
      </c>
    </row>
    <row r="3" spans="1:27" ht="13.5" thickBot="1">
      <c r="N3" s="154"/>
      <c r="O3" s="154"/>
      <c r="P3" s="154"/>
      <c r="Q3" s="154"/>
      <c r="R3" s="154"/>
    </row>
    <row r="4" spans="1:27" ht="13.5" thickBot="1">
      <c r="G4" s="878" t="s">
        <v>24</v>
      </c>
      <c r="H4" s="879"/>
      <c r="I4" s="879"/>
      <c r="J4" s="879"/>
      <c r="K4" s="880"/>
    </row>
    <row r="5" spans="1:27" ht="27.75" customHeight="1" thickBot="1">
      <c r="A5" s="125"/>
      <c r="B5" s="126" t="s">
        <v>193</v>
      </c>
      <c r="C5" s="127" t="s">
        <v>194</v>
      </c>
      <c r="D5" s="346" t="s">
        <v>195</v>
      </c>
      <c r="E5" s="346" t="s">
        <v>196</v>
      </c>
      <c r="F5" s="345"/>
      <c r="G5" s="345" t="s">
        <v>87</v>
      </c>
      <c r="H5" s="345" t="s">
        <v>88</v>
      </c>
      <c r="I5" s="345" t="s">
        <v>89</v>
      </c>
      <c r="J5" s="345" t="s">
        <v>90</v>
      </c>
      <c r="K5" s="345" t="s">
        <v>23</v>
      </c>
      <c r="L5" s="126" t="s">
        <v>197</v>
      </c>
    </row>
    <row r="6" spans="1:27">
      <c r="A6" s="295" t="s">
        <v>198</v>
      </c>
      <c r="B6" s="111" t="s">
        <v>224</v>
      </c>
      <c r="C6" s="305">
        <v>1</v>
      </c>
      <c r="D6" s="324">
        <f>(1950)*Parameters!$F$5</f>
        <v>2340</v>
      </c>
      <c r="E6" s="324">
        <f>D6/Parameters!F5</f>
        <v>1950</v>
      </c>
      <c r="F6" s="325"/>
      <c r="G6" s="325">
        <f>+$D$6*$C$6*3</f>
        <v>7020</v>
      </c>
      <c r="H6" s="325">
        <f>+$D$6*$C$6*3</f>
        <v>7020</v>
      </c>
      <c r="I6" s="325">
        <f>+$D$6*$C$6*3</f>
        <v>7020</v>
      </c>
      <c r="J6" s="325">
        <f>+$D$6*$C$6*3</f>
        <v>7020</v>
      </c>
      <c r="K6" s="326">
        <f>SUM(G6:J6)</f>
        <v>28080</v>
      </c>
      <c r="L6" s="140"/>
    </row>
    <row r="7" spans="1:27" ht="13.5" thickBot="1">
      <c r="A7" s="296"/>
      <c r="B7" s="135"/>
      <c r="C7" s="310"/>
      <c r="D7" s="146"/>
      <c r="E7" s="146"/>
      <c r="F7" s="129"/>
      <c r="G7" s="129"/>
      <c r="H7" s="129"/>
      <c r="I7" s="129"/>
      <c r="J7" s="129"/>
      <c r="K7" s="141"/>
      <c r="L7" s="142"/>
      <c r="Q7" s="26"/>
      <c r="R7" s="306"/>
      <c r="S7" s="306"/>
      <c r="T7" s="306"/>
      <c r="U7" s="339"/>
      <c r="V7" s="339"/>
      <c r="W7" s="339"/>
      <c r="X7" s="339"/>
      <c r="Y7" s="26"/>
      <c r="Z7" s="26"/>
      <c r="AA7" s="26"/>
    </row>
    <row r="8" spans="1:27">
      <c r="B8" s="136"/>
      <c r="C8" s="311">
        <f>SUM(C6:C7)</f>
        <v>1</v>
      </c>
      <c r="D8" s="147"/>
      <c r="E8" s="147"/>
      <c r="G8" s="431">
        <f>SUM(G6:G7)</f>
        <v>7020</v>
      </c>
      <c r="H8" s="130">
        <f>SUM(H6:H7)</f>
        <v>7020</v>
      </c>
      <c r="I8" s="130">
        <f>SUM(I6:I7)</f>
        <v>7020</v>
      </c>
      <c r="J8" s="130">
        <f>SUM(J6:J7)</f>
        <v>7020</v>
      </c>
      <c r="K8" s="431">
        <f>SUM(K6:K7)</f>
        <v>28080</v>
      </c>
      <c r="L8" s="130"/>
      <c r="P8" s="209"/>
      <c r="Q8" s="362"/>
      <c r="R8" s="301"/>
      <c r="S8" s="301"/>
      <c r="T8" s="301"/>
      <c r="U8" s="340"/>
      <c r="V8" s="340"/>
      <c r="W8" s="340"/>
      <c r="X8" s="340"/>
      <c r="Y8" s="26"/>
      <c r="Z8" s="26"/>
      <c r="AA8" s="26"/>
    </row>
    <row r="9" spans="1:27" ht="13.5" thickBot="1">
      <c r="B9" s="136"/>
      <c r="C9" s="147"/>
      <c r="D9" s="147"/>
      <c r="E9" s="147"/>
      <c r="G9" s="143"/>
      <c r="H9" s="143"/>
      <c r="I9" s="143"/>
      <c r="J9" s="143"/>
      <c r="K9" s="130"/>
      <c r="L9" s="130"/>
      <c r="Q9" s="26"/>
      <c r="R9" s="301"/>
      <c r="S9" s="301"/>
      <c r="T9" s="301"/>
      <c r="U9" s="340"/>
      <c r="V9" s="340"/>
      <c r="W9" s="340"/>
      <c r="X9" s="340"/>
      <c r="Y9" s="26"/>
      <c r="Z9" s="26"/>
      <c r="AA9" s="26"/>
    </row>
    <row r="10" spans="1:27" ht="12.75" customHeight="1">
      <c r="A10" s="297" t="s">
        <v>200</v>
      </c>
      <c r="B10" s="111" t="s">
        <v>224</v>
      </c>
      <c r="C10" s="305"/>
      <c r="D10" s="302">
        <f>(1052.52/2)*Parameters!F5</f>
        <v>631.51199999999994</v>
      </c>
      <c r="E10" s="338">
        <f>D10/Parameters!$F$5</f>
        <v>526.26</v>
      </c>
      <c r="F10" s="128"/>
      <c r="G10" s="303">
        <f>D10*3</f>
        <v>1894.5359999999998</v>
      </c>
      <c r="H10" s="303">
        <f>+G10</f>
        <v>1894.5359999999998</v>
      </c>
      <c r="I10" s="303">
        <f>+H10</f>
        <v>1894.5359999999998</v>
      </c>
      <c r="J10" s="303">
        <f>+I10</f>
        <v>1894.5359999999998</v>
      </c>
      <c r="K10" s="304">
        <f>SUM(G10:J10)</f>
        <v>7578.1439999999993</v>
      </c>
      <c r="L10" s="140"/>
      <c r="Q10" s="26"/>
      <c r="R10" s="301"/>
      <c r="S10" s="301"/>
      <c r="T10" s="301"/>
      <c r="U10" s="340"/>
      <c r="V10" s="340"/>
      <c r="W10" s="340"/>
      <c r="X10" s="340"/>
      <c r="Y10" s="26"/>
      <c r="Z10" s="26"/>
      <c r="AA10" s="26"/>
    </row>
    <row r="11" spans="1:27" ht="13.5" thickBot="1">
      <c r="A11" s="296"/>
      <c r="B11" s="135"/>
      <c r="C11" s="310"/>
      <c r="D11" s="146"/>
      <c r="E11" s="146"/>
      <c r="F11" s="129"/>
      <c r="G11" s="129"/>
      <c r="H11" s="129"/>
      <c r="I11" s="129"/>
      <c r="J11" s="129"/>
      <c r="K11" s="141"/>
      <c r="L11" s="142"/>
      <c r="Q11" s="26"/>
      <c r="R11" s="301"/>
      <c r="S11" s="301"/>
      <c r="T11" s="301"/>
      <c r="U11" s="340"/>
      <c r="V11" s="340"/>
      <c r="W11" s="340"/>
      <c r="X11" s="340"/>
      <c r="Y11" s="26"/>
      <c r="Z11" s="26"/>
      <c r="AA11" s="26"/>
    </row>
    <row r="12" spans="1:27">
      <c r="C12" s="311">
        <f>SUM(C10:C11)</f>
        <v>0</v>
      </c>
      <c r="D12" s="149"/>
      <c r="E12" s="149"/>
      <c r="F12" s="149"/>
      <c r="G12" s="432">
        <f>SUM(G10:G11)</f>
        <v>1894.5359999999998</v>
      </c>
      <c r="H12" s="333">
        <f>SUM(H10:H11)</f>
        <v>1894.5359999999998</v>
      </c>
      <c r="I12" s="333">
        <f>SUM(I10:I11)</f>
        <v>1894.5359999999998</v>
      </c>
      <c r="J12" s="333">
        <f>SUM(J10:J11)</f>
        <v>1894.5359999999998</v>
      </c>
      <c r="K12" s="432">
        <f>SUM(K10:K11)</f>
        <v>7578.1439999999993</v>
      </c>
      <c r="Q12" s="26"/>
      <c r="R12" s="301"/>
      <c r="S12" s="301"/>
      <c r="T12" s="301"/>
      <c r="U12" s="340"/>
      <c r="V12" s="340"/>
      <c r="W12" s="340"/>
      <c r="X12" s="340"/>
      <c r="Y12" s="26"/>
      <c r="Z12" s="26"/>
      <c r="AA12" s="26"/>
    </row>
    <row r="13" spans="1:27" ht="13.5" thickBot="1">
      <c r="B13" s="136"/>
      <c r="C13" s="147"/>
      <c r="D13" s="147"/>
      <c r="E13" s="147"/>
      <c r="G13" s="143"/>
      <c r="H13" s="143"/>
      <c r="I13" s="143"/>
      <c r="J13" s="143"/>
      <c r="K13" s="130"/>
      <c r="L13" s="130"/>
      <c r="Q13" s="26"/>
      <c r="R13" s="301"/>
      <c r="S13" s="301"/>
      <c r="T13" s="301"/>
      <c r="U13" s="340"/>
      <c r="V13" s="340"/>
      <c r="W13" s="340"/>
      <c r="X13" s="340"/>
      <c r="Y13" s="26"/>
      <c r="Z13" s="26"/>
      <c r="AA13" s="26"/>
    </row>
    <row r="14" spans="1:27" ht="12.75" customHeight="1">
      <c r="A14" s="328" t="s">
        <v>201</v>
      </c>
      <c r="B14" s="316" t="s">
        <v>224</v>
      </c>
      <c r="C14" s="329">
        <v>1</v>
      </c>
      <c r="D14" s="318">
        <f>(178.78)*Parameters!$F$5</f>
        <v>214.536</v>
      </c>
      <c r="E14" s="318">
        <f>D14/Parameters!F5</f>
        <v>178.78</v>
      </c>
      <c r="F14" s="321"/>
      <c r="G14" s="319">
        <f>+$D$14*$C$14*3</f>
        <v>643.60799999999995</v>
      </c>
      <c r="H14" s="319">
        <f>+$D$14*$C$14*3</f>
        <v>643.60799999999995</v>
      </c>
      <c r="I14" s="319">
        <f>+$D$14*$C$14*3</f>
        <v>643.60799999999995</v>
      </c>
      <c r="J14" s="319">
        <f>+$D$14*$C$14*3</f>
        <v>643.60799999999995</v>
      </c>
      <c r="K14" s="320">
        <f>SUM(G14:J14)</f>
        <v>2574.4319999999998</v>
      </c>
      <c r="L14" s="350"/>
      <c r="Q14" s="26"/>
      <c r="R14" s="301"/>
      <c r="S14" s="301"/>
      <c r="T14" s="301"/>
      <c r="U14" s="341"/>
      <c r="V14" s="341"/>
      <c r="W14" s="341"/>
      <c r="X14" s="341"/>
      <c r="Y14" s="26"/>
      <c r="Z14" s="26"/>
      <c r="AA14" s="26"/>
    </row>
    <row r="15" spans="1:27" ht="13.5" thickBot="1">
      <c r="A15" s="296"/>
      <c r="B15" s="137"/>
      <c r="C15" s="148"/>
      <c r="D15" s="148"/>
      <c r="E15" s="148"/>
      <c r="F15" s="129"/>
      <c r="G15" s="129"/>
      <c r="H15" s="129"/>
      <c r="I15" s="129"/>
      <c r="J15" s="129"/>
      <c r="K15" s="141">
        <f>SUM(G15:J15)</f>
        <v>0</v>
      </c>
      <c r="L15" s="352"/>
      <c r="Q15" s="363"/>
      <c r="R15" s="26"/>
      <c r="S15" s="26"/>
      <c r="T15" s="26"/>
      <c r="U15" s="342"/>
      <c r="V15" s="342"/>
      <c r="W15" s="342"/>
      <c r="X15" s="339"/>
      <c r="Y15" s="26"/>
      <c r="Z15" s="26"/>
      <c r="AA15" s="26"/>
    </row>
    <row r="16" spans="1:27">
      <c r="A16" s="313"/>
      <c r="B16" s="331" t="s">
        <v>199</v>
      </c>
      <c r="C16" s="353">
        <f>SUM(C14:C15)</f>
        <v>1</v>
      </c>
      <c r="D16" s="332"/>
      <c r="E16" s="332"/>
      <c r="F16" s="336"/>
      <c r="G16" s="433">
        <f>SUM(G14:G15)</f>
        <v>643.60799999999995</v>
      </c>
      <c r="H16" s="293">
        <f>SUM(H14:H15)</f>
        <v>643.60799999999995</v>
      </c>
      <c r="I16" s="293">
        <f>SUM(I14:I15)</f>
        <v>643.60799999999995</v>
      </c>
      <c r="J16" s="293">
        <f>SUM(J14:J15)</f>
        <v>643.60799999999995</v>
      </c>
      <c r="K16" s="433">
        <f>SUM(K14:K15)</f>
        <v>2574.4319999999998</v>
      </c>
      <c r="L16" s="238"/>
      <c r="Q16" s="26"/>
      <c r="R16" s="301"/>
      <c r="S16" s="301"/>
      <c r="T16" s="301"/>
      <c r="U16" s="340"/>
      <c r="V16" s="340"/>
      <c r="W16" s="340"/>
      <c r="X16" s="340"/>
      <c r="Y16" s="26"/>
      <c r="Z16" s="26"/>
      <c r="AA16" s="26"/>
    </row>
    <row r="17" spans="1:27" ht="13.5" thickBot="1">
      <c r="B17" s="136"/>
      <c r="C17" s="147"/>
      <c r="D17" s="147"/>
      <c r="E17" s="147"/>
      <c r="G17" s="143"/>
      <c r="H17" s="143"/>
      <c r="I17" s="143"/>
      <c r="J17" s="143"/>
      <c r="K17" s="130"/>
      <c r="L17" s="130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2.75" customHeight="1">
      <c r="A18" s="328" t="s">
        <v>202</v>
      </c>
      <c r="B18" s="316" t="s">
        <v>224</v>
      </c>
      <c r="C18" s="343">
        <v>1</v>
      </c>
      <c r="D18" s="318">
        <v>400</v>
      </c>
      <c r="E18" s="318">
        <f>D18/Parameters!F5</f>
        <v>333.33333333333337</v>
      </c>
      <c r="F18" s="321"/>
      <c r="G18" s="319">
        <f>+$D$18*$C$18*3</f>
        <v>1200</v>
      </c>
      <c r="H18" s="319">
        <f>+$D$18*$C$18*3</f>
        <v>1200</v>
      </c>
      <c r="I18" s="319">
        <f>+$D$18*$C$18*3</f>
        <v>1200</v>
      </c>
      <c r="J18" s="319">
        <f>+$D$18*$C$18*3</f>
        <v>1200</v>
      </c>
      <c r="K18" s="320">
        <f>SUM(G18:J18)</f>
        <v>4800</v>
      </c>
      <c r="L18" s="350"/>
      <c r="Q18" s="30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thickBot="1">
      <c r="A19" s="296"/>
      <c r="B19" s="137"/>
      <c r="C19" s="148"/>
      <c r="D19" s="148"/>
      <c r="E19" s="148"/>
      <c r="F19" s="129"/>
      <c r="G19" s="434"/>
      <c r="H19" s="129"/>
      <c r="I19" s="129"/>
      <c r="J19" s="129"/>
      <c r="K19" s="141">
        <f>SUM(G19:J19)</f>
        <v>0</v>
      </c>
      <c r="L19" s="352"/>
      <c r="Q19" s="26"/>
      <c r="R19" s="312"/>
      <c r="S19" s="364"/>
      <c r="T19" s="312"/>
      <c r="U19" s="364"/>
      <c r="V19" s="312"/>
      <c r="W19" s="364"/>
      <c r="X19" s="312"/>
      <c r="Y19" s="364"/>
      <c r="Z19" s="26"/>
      <c r="AA19" s="26"/>
    </row>
    <row r="20" spans="1:27">
      <c r="A20" s="313"/>
      <c r="B20" s="331" t="s">
        <v>199</v>
      </c>
      <c r="C20" s="332">
        <f>SUM(C18:C19)</f>
        <v>1</v>
      </c>
      <c r="D20" s="332"/>
      <c r="E20" s="332"/>
      <c r="F20" s="336"/>
      <c r="G20" s="433">
        <f>SUM(G18:G19)</f>
        <v>1200</v>
      </c>
      <c r="H20" s="293">
        <f>SUM(H18:H19)</f>
        <v>1200</v>
      </c>
      <c r="I20" s="293">
        <f>SUM(I18:I19)</f>
        <v>1200</v>
      </c>
      <c r="J20" s="293">
        <f>SUM(J18:J19)</f>
        <v>1200</v>
      </c>
      <c r="K20" s="433">
        <f>SUM(K18:K19)</f>
        <v>4800</v>
      </c>
      <c r="L20" s="238"/>
      <c r="Q20" s="26"/>
      <c r="R20" s="312"/>
      <c r="S20" s="364"/>
      <c r="T20" s="312"/>
      <c r="U20" s="364"/>
      <c r="V20" s="312"/>
      <c r="W20" s="364"/>
      <c r="X20" s="312"/>
      <c r="Y20" s="364"/>
      <c r="Z20" s="26"/>
      <c r="AA20" s="26"/>
    </row>
    <row r="21" spans="1:27" ht="13.5" thickBot="1">
      <c r="B21" s="136"/>
      <c r="C21" s="147"/>
      <c r="D21" s="147"/>
      <c r="E21" s="147"/>
      <c r="G21" s="143"/>
      <c r="H21" s="143"/>
      <c r="I21" s="143"/>
      <c r="J21" s="143"/>
      <c r="K21" s="130"/>
      <c r="L21" s="130"/>
      <c r="N21" s="151"/>
      <c r="Q21" s="306"/>
      <c r="R21" s="365"/>
      <c r="S21" s="366"/>
      <c r="T21" s="365"/>
      <c r="U21" s="366"/>
      <c r="V21" s="365"/>
      <c r="W21" s="366"/>
      <c r="X21" s="365"/>
      <c r="Y21" s="366"/>
      <c r="Z21" s="26"/>
      <c r="AA21" s="26"/>
    </row>
    <row r="22" spans="1:27" ht="12.75" customHeight="1">
      <c r="A22" s="328" t="s">
        <v>203</v>
      </c>
      <c r="B22" s="316" t="s">
        <v>224</v>
      </c>
      <c r="C22" s="329"/>
      <c r="D22" s="318">
        <f>((151.42+3.48+172.26+18+100))*Parameters!F5</f>
        <v>534.19199999999989</v>
      </c>
      <c r="E22" s="318">
        <f>D22/Parameters!F5</f>
        <v>445.15999999999991</v>
      </c>
      <c r="F22" s="319"/>
      <c r="G22" s="319">
        <f>D22*3</f>
        <v>1602.5759999999996</v>
      </c>
      <c r="H22" s="319">
        <f>D22*3</f>
        <v>1602.5759999999996</v>
      </c>
      <c r="I22" s="319">
        <f>D22*3</f>
        <v>1602.5759999999996</v>
      </c>
      <c r="J22" s="319">
        <f>D22*3</f>
        <v>1602.5759999999996</v>
      </c>
      <c r="K22" s="320">
        <f>SUM(G22:J22)</f>
        <v>6410.3039999999983</v>
      </c>
      <c r="L22" s="350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3.5" thickBot="1">
      <c r="A23" s="296" t="s">
        <v>268</v>
      </c>
      <c r="B23" s="137"/>
      <c r="C23" s="148"/>
      <c r="D23" s="148"/>
      <c r="E23" s="148">
        <v>2500</v>
      </c>
      <c r="F23" s="129"/>
      <c r="G23" s="129">
        <f>+$E$23*3</f>
        <v>7500</v>
      </c>
      <c r="H23" s="129">
        <f>+$E$23*3</f>
        <v>7500</v>
      </c>
      <c r="I23" s="129">
        <f>+$E$23*3</f>
        <v>7500</v>
      </c>
      <c r="J23" s="129">
        <f>+$E$23*3</f>
        <v>7500</v>
      </c>
      <c r="K23" s="141">
        <f>SUM(G23:J23)</f>
        <v>30000</v>
      </c>
      <c r="L23" s="352"/>
      <c r="N23" s="98"/>
    </row>
    <row r="24" spans="1:27" s="98" customFormat="1">
      <c r="A24" s="313"/>
      <c r="B24" s="331"/>
      <c r="C24" s="332"/>
      <c r="D24" s="332"/>
      <c r="E24" s="332"/>
      <c r="F24" s="336"/>
      <c r="G24" s="433">
        <f>SUM(G22:G23)</f>
        <v>9102.5759999999991</v>
      </c>
      <c r="H24" s="293">
        <f>SUM(H22:H23)</f>
        <v>9102.5759999999991</v>
      </c>
      <c r="I24" s="293">
        <f>SUM(I22:I23)</f>
        <v>9102.5759999999991</v>
      </c>
      <c r="J24" s="293">
        <f>SUM(J22:J23)</f>
        <v>9102.5759999999991</v>
      </c>
      <c r="K24" s="433">
        <f>SUM(K22:K23)</f>
        <v>36410.303999999996</v>
      </c>
      <c r="L24" s="238"/>
    </row>
    <row r="25" spans="1:27" ht="13.5" thickBot="1">
      <c r="A25" s="276"/>
      <c r="B25" s="138"/>
      <c r="C25" s="138"/>
      <c r="D25" s="138"/>
      <c r="E25" s="138"/>
      <c r="F25" s="138"/>
      <c r="G25" s="152"/>
      <c r="H25" s="153"/>
      <c r="I25" s="153"/>
      <c r="J25" s="153"/>
      <c r="K25" s="153"/>
      <c r="L25" s="138"/>
      <c r="M25" s="138"/>
      <c r="N25" s="138"/>
      <c r="P25" s="138"/>
      <c r="Q25" s="138"/>
      <c r="R25" s="138"/>
      <c r="S25" s="138"/>
      <c r="T25" s="138"/>
      <c r="U25" s="138"/>
      <c r="V25" s="138"/>
      <c r="W25" s="138"/>
    </row>
    <row r="26" spans="1:27" ht="12.75" customHeight="1">
      <c r="A26" s="328" t="s">
        <v>204</v>
      </c>
      <c r="B26" s="316" t="s">
        <v>223</v>
      </c>
      <c r="C26" s="317"/>
      <c r="D26" s="317"/>
      <c r="E26" s="317">
        <f>D26/Parameters!F5</f>
        <v>0</v>
      </c>
      <c r="F26" s="321"/>
      <c r="G26" s="319">
        <v>200</v>
      </c>
      <c r="H26" s="319">
        <f>+G26</f>
        <v>200</v>
      </c>
      <c r="I26" s="319">
        <f>+H26</f>
        <v>200</v>
      </c>
      <c r="J26" s="319">
        <f>+I26</f>
        <v>200</v>
      </c>
      <c r="K26" s="320">
        <f>SUM(G26:J26)</f>
        <v>800</v>
      </c>
      <c r="L26" s="350"/>
    </row>
    <row r="27" spans="1:27" ht="13.5" thickBot="1">
      <c r="A27" s="296"/>
      <c r="B27" s="135"/>
      <c r="C27" s="146"/>
      <c r="D27" s="146"/>
      <c r="E27" s="146"/>
      <c r="F27" s="129"/>
      <c r="G27" s="129"/>
      <c r="H27" s="129"/>
      <c r="I27" s="129"/>
      <c r="J27" s="129"/>
      <c r="K27" s="141">
        <f>SUM(G27:J27)</f>
        <v>0</v>
      </c>
      <c r="L27" s="352"/>
    </row>
    <row r="28" spans="1:27">
      <c r="A28" s="276"/>
      <c r="B28" s="138"/>
      <c r="C28" s="138"/>
      <c r="D28" s="138"/>
      <c r="E28" s="138"/>
      <c r="F28" s="138"/>
      <c r="G28" s="293">
        <f>SUM(G26:G27)</f>
        <v>200</v>
      </c>
      <c r="H28" s="293">
        <f>SUM(H26:H27)</f>
        <v>200</v>
      </c>
      <c r="I28" s="293">
        <f>SUM(I26:I27)</f>
        <v>200</v>
      </c>
      <c r="J28" s="293">
        <f>SUM(J26:J27)</f>
        <v>200</v>
      </c>
      <c r="K28" s="433">
        <f>SUM(K26:K27)</f>
        <v>800</v>
      </c>
      <c r="L28" s="331"/>
      <c r="M28" s="138"/>
      <c r="P28" s="138"/>
      <c r="Q28" s="138"/>
      <c r="R28" s="138"/>
      <c r="S28" s="138"/>
      <c r="T28" s="138"/>
      <c r="U28" s="138"/>
      <c r="V28" s="138"/>
      <c r="W28" s="138"/>
    </row>
    <row r="29" spans="1:27" ht="13.5" thickBot="1">
      <c r="A29" s="313"/>
      <c r="B29" s="331"/>
      <c r="C29" s="332"/>
      <c r="D29" s="332"/>
      <c r="E29" s="332"/>
      <c r="F29" s="336"/>
      <c r="G29" s="336"/>
      <c r="H29" s="336"/>
      <c r="I29" s="336"/>
      <c r="J29" s="336"/>
      <c r="K29" s="337"/>
      <c r="L29" s="238"/>
      <c r="M29" s="27"/>
      <c r="N29" s="27"/>
      <c r="O29" s="27"/>
    </row>
    <row r="30" spans="1:27" ht="13.5" thickBot="1">
      <c r="A30" s="328" t="s">
        <v>205</v>
      </c>
      <c r="B30" s="316" t="s">
        <v>226</v>
      </c>
      <c r="C30" s="317">
        <v>0</v>
      </c>
      <c r="D30" s="318">
        <f>E30*Parameters!$F$5</f>
        <v>7200</v>
      </c>
      <c r="E30" s="318">
        <v>6000</v>
      </c>
      <c r="F30" s="319"/>
      <c r="G30" s="319">
        <f>+$D$30/4</f>
        <v>1800</v>
      </c>
      <c r="H30" s="319">
        <f>+$D$30/4</f>
        <v>1800</v>
      </c>
      <c r="I30" s="319">
        <f>+$D$30/4</f>
        <v>1800</v>
      </c>
      <c r="J30" s="319">
        <f>+$D$30/4</f>
        <v>1800</v>
      </c>
      <c r="K30" s="320">
        <f>SUM(G30:J30)</f>
        <v>7200</v>
      </c>
      <c r="L30" s="350"/>
      <c r="M30" s="314"/>
      <c r="N30" s="314"/>
      <c r="O30" s="314"/>
    </row>
    <row r="31" spans="1:27">
      <c r="A31" s="330"/>
      <c r="B31" s="344" t="s">
        <v>227</v>
      </c>
      <c r="C31" s="323">
        <v>0</v>
      </c>
      <c r="D31" s="324">
        <f>E31*Parameters!$F$5</f>
        <v>12000</v>
      </c>
      <c r="E31" s="324">
        <v>10000</v>
      </c>
      <c r="F31" s="325"/>
      <c r="G31" s="319">
        <f>+$D$31/4</f>
        <v>3000</v>
      </c>
      <c r="H31" s="319">
        <f>+$D$31/4</f>
        <v>3000</v>
      </c>
      <c r="I31" s="319">
        <f>+$D$31/4</f>
        <v>3000</v>
      </c>
      <c r="J31" s="319">
        <f>+$D$31/4</f>
        <v>3000</v>
      </c>
      <c r="K31" s="326">
        <f>SUM(G31:J31)</f>
        <v>12000</v>
      </c>
      <c r="L31" s="351"/>
      <c r="M31" s="314"/>
      <c r="N31" s="314"/>
      <c r="O31" s="314"/>
    </row>
    <row r="32" spans="1:27">
      <c r="A32" s="330"/>
      <c r="B32" s="322" t="s">
        <v>62</v>
      </c>
      <c r="C32" s="323">
        <v>0</v>
      </c>
      <c r="D32" s="354">
        <f>E32*Parameters!$F$5</f>
        <v>1200</v>
      </c>
      <c r="E32" s="324">
        <v>1000</v>
      </c>
      <c r="F32" s="325"/>
      <c r="G32" s="325">
        <f>+$D$32*3</f>
        <v>3600</v>
      </c>
      <c r="H32" s="325">
        <f>+$D$32*3</f>
        <v>3600</v>
      </c>
      <c r="I32" s="325">
        <f>+$D$32*3</f>
        <v>3600</v>
      </c>
      <c r="J32" s="325">
        <f>+$D$32*3</f>
        <v>3600</v>
      </c>
      <c r="K32" s="349">
        <f>SUM(G32:J32)</f>
        <v>14400</v>
      </c>
      <c r="L32" s="351"/>
      <c r="M32" s="314"/>
      <c r="N32" s="314"/>
      <c r="O32" s="314"/>
    </row>
    <row r="33" spans="1:15" ht="13.5" thickBot="1">
      <c r="A33" s="296"/>
      <c r="B33" s="135" t="s">
        <v>4</v>
      </c>
      <c r="C33" s="146"/>
      <c r="D33" s="146"/>
      <c r="E33" s="146"/>
      <c r="F33" s="129"/>
      <c r="G33" s="129"/>
      <c r="H33" s="129"/>
      <c r="I33" s="129"/>
      <c r="J33" s="129"/>
      <c r="K33" s="141">
        <v>0</v>
      </c>
      <c r="L33" s="352"/>
      <c r="M33" s="314"/>
      <c r="N33" s="314"/>
      <c r="O33" s="314"/>
    </row>
    <row r="34" spans="1:15">
      <c r="G34" s="433">
        <f>SUM(G30:G32)</f>
        <v>8400</v>
      </c>
      <c r="H34" s="293">
        <f>SUM(H30:H32)</f>
        <v>8400</v>
      </c>
      <c r="I34" s="293">
        <f>SUM(I30:I32)</f>
        <v>8400</v>
      </c>
      <c r="J34" s="293">
        <f>SUM(J30:J32)</f>
        <v>8400</v>
      </c>
      <c r="K34" s="433">
        <f>SUM(K30:K32)</f>
        <v>33600</v>
      </c>
    </row>
    <row r="35" spans="1:15" s="27" customFormat="1" ht="13.5" thickBot="1">
      <c r="A35" s="313"/>
      <c r="B35" s="331"/>
      <c r="C35" s="332"/>
      <c r="D35" s="332"/>
      <c r="E35" s="332"/>
      <c r="F35" s="336"/>
      <c r="G35" s="336"/>
      <c r="H35" s="336"/>
      <c r="I35" s="336"/>
      <c r="J35" s="336"/>
      <c r="K35" s="337"/>
      <c r="L35" s="238"/>
    </row>
    <row r="36" spans="1:15" ht="12.75" customHeight="1">
      <c r="A36" s="328" t="s">
        <v>206</v>
      </c>
      <c r="B36" s="316" t="s">
        <v>223</v>
      </c>
      <c r="C36" s="317">
        <v>2</v>
      </c>
      <c r="D36" s="317">
        <v>600</v>
      </c>
      <c r="E36" s="317">
        <f>D36/Parameters!F5</f>
        <v>500</v>
      </c>
      <c r="F36" s="321"/>
      <c r="G36" s="319">
        <f>($D$36*3)*2</f>
        <v>3600</v>
      </c>
      <c r="H36" s="319">
        <f>($D$36*3)*2</f>
        <v>3600</v>
      </c>
      <c r="I36" s="319">
        <f>($D$36*3)*2</f>
        <v>3600</v>
      </c>
      <c r="J36" s="319">
        <f>($D$36*3)*2</f>
        <v>3600</v>
      </c>
      <c r="K36" s="320">
        <f>SUM(G36:J36)</f>
        <v>14400</v>
      </c>
      <c r="L36" s="350"/>
    </row>
    <row r="37" spans="1:15" ht="13.5" thickBot="1">
      <c r="A37" s="296"/>
      <c r="B37" s="135"/>
      <c r="C37" s="146"/>
      <c r="D37" s="146"/>
      <c r="E37" s="146"/>
      <c r="F37" s="129"/>
      <c r="G37" s="129"/>
      <c r="H37" s="129"/>
      <c r="I37" s="129"/>
      <c r="J37" s="129"/>
      <c r="K37" s="141">
        <f>SUM(G37:J37)</f>
        <v>0</v>
      </c>
      <c r="L37" s="352"/>
    </row>
    <row r="38" spans="1:15" s="27" customFormat="1">
      <c r="A38" s="313"/>
      <c r="B38" s="331"/>
      <c r="C38" s="332"/>
      <c r="D38" s="332"/>
      <c r="E38" s="332"/>
      <c r="F38" s="336"/>
      <c r="G38" s="433">
        <f>SUM(G36:G37)</f>
        <v>3600</v>
      </c>
      <c r="H38" s="293">
        <f>SUM(H36:H37)</f>
        <v>3600</v>
      </c>
      <c r="I38" s="293">
        <f>SUM(I36:I37)</f>
        <v>3600</v>
      </c>
      <c r="J38" s="293">
        <f>SUM(J36:J37)</f>
        <v>3600</v>
      </c>
      <c r="K38" s="433">
        <f>SUM(K36:K37)</f>
        <v>14400</v>
      </c>
      <c r="L38" s="238"/>
    </row>
    <row r="39" spans="1:15" s="27" customFormat="1" ht="13.5" thickBot="1">
      <c r="A39" s="313"/>
      <c r="B39" s="331"/>
      <c r="C39" s="332"/>
      <c r="D39" s="332"/>
      <c r="E39" s="332"/>
      <c r="F39" s="336"/>
      <c r="G39" s="293"/>
      <c r="H39" s="293"/>
      <c r="I39" s="293"/>
      <c r="J39" s="293"/>
      <c r="K39" s="293"/>
      <c r="L39" s="238"/>
    </row>
    <row r="40" spans="1:15" s="27" customFormat="1">
      <c r="A40" s="328" t="s">
        <v>161</v>
      </c>
      <c r="B40" s="316" t="s">
        <v>223</v>
      </c>
      <c r="C40" s="317"/>
      <c r="D40" s="317"/>
      <c r="E40" s="317">
        <v>700</v>
      </c>
      <c r="F40" s="321"/>
      <c r="G40" s="319">
        <f>+E40*3</f>
        <v>2100</v>
      </c>
      <c r="H40" s="319">
        <f>+G40</f>
        <v>2100</v>
      </c>
      <c r="I40" s="319">
        <f>+H40</f>
        <v>2100</v>
      </c>
      <c r="J40" s="319">
        <f>+I40</f>
        <v>2100</v>
      </c>
      <c r="K40" s="320">
        <f>SUM(G40:J40)</f>
        <v>8400</v>
      </c>
      <c r="L40" s="350"/>
    </row>
    <row r="41" spans="1:15" s="27" customFormat="1" ht="13.5" thickBot="1">
      <c r="A41" s="296"/>
      <c r="B41" s="135"/>
      <c r="C41" s="146"/>
      <c r="D41" s="146"/>
      <c r="E41" s="146"/>
      <c r="F41" s="129"/>
      <c r="G41" s="129"/>
      <c r="H41" s="129"/>
      <c r="I41" s="129"/>
      <c r="J41" s="129"/>
      <c r="K41" s="141">
        <f>SUM(G41:J41)</f>
        <v>0</v>
      </c>
      <c r="L41" s="352"/>
    </row>
    <row r="42" spans="1:15" s="27" customFormat="1">
      <c r="A42" s="313"/>
      <c r="B42" s="331"/>
      <c r="C42" s="332"/>
      <c r="D42" s="332"/>
      <c r="E42" s="332"/>
      <c r="F42" s="336"/>
      <c r="G42" s="293">
        <f>SUM(G40:G41)</f>
        <v>2100</v>
      </c>
      <c r="H42" s="293">
        <f>SUM(H40:H41)</f>
        <v>2100</v>
      </c>
      <c r="I42" s="293">
        <f>SUM(I40:I41)</f>
        <v>2100</v>
      </c>
      <c r="J42" s="293">
        <f>SUM(J40:J41)</f>
        <v>2100</v>
      </c>
      <c r="K42" s="433">
        <f>SUM(K40:K41)</f>
        <v>8400</v>
      </c>
      <c r="L42" s="238"/>
    </row>
    <row r="43" spans="1:15" s="27" customFormat="1" ht="13.5" thickBot="1">
      <c r="A43" s="313"/>
      <c r="B43" s="331"/>
      <c r="C43" s="332"/>
      <c r="D43" s="332"/>
      <c r="E43" s="332"/>
      <c r="F43" s="336"/>
      <c r="G43" s="293"/>
      <c r="H43" s="293"/>
      <c r="I43" s="293"/>
      <c r="J43" s="293"/>
      <c r="K43" s="293"/>
      <c r="L43" s="238"/>
    </row>
    <row r="44" spans="1:15" s="27" customFormat="1">
      <c r="A44" s="328" t="s">
        <v>4</v>
      </c>
      <c r="B44" s="316" t="s">
        <v>223</v>
      </c>
      <c r="C44" s="317"/>
      <c r="D44" s="317"/>
      <c r="E44" s="317"/>
      <c r="F44" s="321"/>
      <c r="G44" s="319">
        <v>5000</v>
      </c>
      <c r="H44" s="319">
        <v>5000</v>
      </c>
      <c r="I44" s="319">
        <v>5000</v>
      </c>
      <c r="J44" s="319">
        <v>5000</v>
      </c>
      <c r="K44" s="320">
        <f>SUM(G44:J44)</f>
        <v>20000</v>
      </c>
      <c r="L44" s="350"/>
    </row>
    <row r="45" spans="1:15" s="27" customFormat="1" ht="13.5" thickBot="1">
      <c r="A45" s="296"/>
      <c r="B45" s="135"/>
      <c r="C45" s="146"/>
      <c r="D45" s="146"/>
      <c r="E45" s="146"/>
      <c r="F45" s="129"/>
      <c r="G45" s="129"/>
      <c r="H45" s="129"/>
      <c r="I45" s="129"/>
      <c r="J45" s="129"/>
      <c r="K45" s="141">
        <f>SUM(G45:J45)</f>
        <v>0</v>
      </c>
      <c r="L45" s="352"/>
    </row>
    <row r="46" spans="1:15" s="27" customFormat="1">
      <c r="A46" s="313"/>
      <c r="B46" s="331"/>
      <c r="C46" s="332"/>
      <c r="D46" s="332"/>
      <c r="E46" s="332"/>
      <c r="F46" s="336"/>
      <c r="G46" s="293">
        <f>SUM(G44:G45)</f>
        <v>5000</v>
      </c>
      <c r="H46" s="293">
        <f>SUM(H44:H45)</f>
        <v>5000</v>
      </c>
      <c r="I46" s="293">
        <f>SUM(I44:I45)</f>
        <v>5000</v>
      </c>
      <c r="J46" s="293">
        <f>SUM(J44:J45)</f>
        <v>5000</v>
      </c>
      <c r="K46" s="433">
        <f>SUM(K44:K45)</f>
        <v>20000</v>
      </c>
      <c r="L46" s="238"/>
    </row>
    <row r="47" spans="1:15" s="27" customFormat="1" ht="13.5" thickBot="1">
      <c r="A47" s="313"/>
      <c r="B47" s="331"/>
      <c r="C47" s="332"/>
      <c r="D47" s="332"/>
      <c r="E47" s="332"/>
      <c r="F47" s="336"/>
      <c r="G47" s="336"/>
      <c r="H47" s="336"/>
      <c r="I47" s="336"/>
      <c r="J47" s="336"/>
      <c r="K47" s="293"/>
      <c r="L47" s="238"/>
    </row>
    <row r="48" spans="1:15" s="27" customFormat="1">
      <c r="A48" s="315" t="s">
        <v>8</v>
      </c>
      <c r="B48" s="334" t="s">
        <v>214</v>
      </c>
      <c r="C48" s="335"/>
      <c r="D48" s="335"/>
      <c r="E48" s="335">
        <v>750</v>
      </c>
      <c r="F48" s="131"/>
      <c r="G48" s="325">
        <f>+E48*3</f>
        <v>2250</v>
      </c>
      <c r="H48" s="325">
        <f>+G48</f>
        <v>2250</v>
      </c>
      <c r="I48" s="325">
        <f>+H48</f>
        <v>2250</v>
      </c>
      <c r="J48" s="325">
        <f>+I48</f>
        <v>2250</v>
      </c>
      <c r="K48" s="327">
        <f>SUM(G48:J48)</f>
        <v>9000</v>
      </c>
      <c r="L48" s="327"/>
    </row>
    <row r="49" spans="1:12" s="27" customFormat="1" ht="13.5" thickBot="1">
      <c r="A49" s="296"/>
      <c r="B49" s="347"/>
      <c r="C49" s="148"/>
      <c r="D49" s="148"/>
      <c r="E49" s="148"/>
      <c r="F49" s="129"/>
      <c r="G49" s="129"/>
      <c r="H49" s="129"/>
      <c r="I49" s="129"/>
      <c r="J49" s="129"/>
      <c r="K49" s="142">
        <f>SUM(G49:J49)</f>
        <v>0</v>
      </c>
      <c r="L49" s="142"/>
    </row>
    <row r="50" spans="1:12" s="27" customFormat="1">
      <c r="A50" s="313"/>
      <c r="B50" s="331"/>
      <c r="C50" s="332"/>
      <c r="D50" s="332"/>
      <c r="E50" s="332"/>
      <c r="F50" s="336"/>
      <c r="G50" s="293">
        <f>SUM(G48:G49)</f>
        <v>2250</v>
      </c>
      <c r="H50" s="293">
        <f>SUM(H48:H49)</f>
        <v>2250</v>
      </c>
      <c r="I50" s="293">
        <f>SUM(I48:I49)</f>
        <v>2250</v>
      </c>
      <c r="J50" s="293">
        <f>SUM(J48:J49)</f>
        <v>2250</v>
      </c>
      <c r="K50" s="293">
        <f>SUM(K48:K49)</f>
        <v>9000</v>
      </c>
      <c r="L50" s="238"/>
    </row>
    <row r="51" spans="1:12" s="27" customFormat="1">
      <c r="A51" s="313"/>
      <c r="B51" s="331"/>
      <c r="C51" s="332"/>
      <c r="D51" s="332"/>
      <c r="E51" s="332"/>
      <c r="F51" s="336"/>
      <c r="G51" s="336"/>
      <c r="H51" s="336"/>
      <c r="I51" s="336"/>
      <c r="J51" s="336"/>
      <c r="K51" s="337"/>
      <c r="L51" s="238"/>
    </row>
    <row r="52" spans="1:12" s="27" customFormat="1">
      <c r="A52" s="313"/>
      <c r="B52" s="331"/>
      <c r="C52" s="332"/>
      <c r="D52" s="332"/>
      <c r="E52" s="332"/>
      <c r="F52" s="336"/>
      <c r="G52" s="336"/>
      <c r="H52" s="336"/>
      <c r="I52" s="336"/>
      <c r="J52" s="336"/>
      <c r="K52" s="337"/>
      <c r="L52" s="238"/>
    </row>
    <row r="53" spans="1:12" s="27" customFormat="1">
      <c r="A53" s="115"/>
      <c r="B53" s="139" t="s">
        <v>207</v>
      </c>
      <c r="C53" s="150"/>
      <c r="D53" s="150"/>
      <c r="E53" s="150"/>
      <c r="F53" s="132"/>
      <c r="G53" s="133">
        <f>+G50+G38+G34+G28+G24+G20++G16+G12+G8+G42+G46</f>
        <v>41410.720000000001</v>
      </c>
      <c r="H53" s="133">
        <f>+H50+H38+H34+H28+H24+H20++H16+H12+H8+H42+H46</f>
        <v>41410.720000000001</v>
      </c>
      <c r="I53" s="133">
        <f>+I50+I38+I34+I28+I24+I20++I16+I12+I8+I42+I46</f>
        <v>41410.720000000001</v>
      </c>
      <c r="J53" s="133">
        <f>+J50+J38+J34+J28+J24+J20++J16+J12+J8+J42+J46</f>
        <v>41410.720000000001</v>
      </c>
      <c r="K53" s="133">
        <f>+K50+K38+K34+K28+K24+K20++K16+K12+K8+K42+K46</f>
        <v>165642.88</v>
      </c>
      <c r="L53" s="133"/>
    </row>
    <row r="54" spans="1:12" s="27" customFormat="1">
      <c r="A54" s="299"/>
      <c r="B54" s="28"/>
      <c r="C54" s="145"/>
      <c r="D54" s="145"/>
      <c r="E54" s="145"/>
      <c r="F54" s="134"/>
      <c r="G54" s="134"/>
      <c r="H54" s="134"/>
      <c r="I54" s="134"/>
      <c r="J54" s="134"/>
      <c r="K54" s="5"/>
      <c r="L54" s="5"/>
    </row>
    <row r="55" spans="1:12">
      <c r="G55" s="209">
        <f>(+G53-G50)/1000</f>
        <v>39.160719999999998</v>
      </c>
      <c r="H55" s="209">
        <f>(+H53-H50)/1000</f>
        <v>39.160719999999998</v>
      </c>
      <c r="I55" s="209">
        <f>(+I53-I50)/1000</f>
        <v>39.160719999999998</v>
      </c>
      <c r="J55" s="209">
        <f>(+J53-J50)/1000</f>
        <v>39.160719999999998</v>
      </c>
      <c r="K55" s="209">
        <f>(+K53-K50)/1000</f>
        <v>156.64287999999999</v>
      </c>
    </row>
  </sheetData>
  <mergeCells count="1">
    <mergeCell ref="G4:K4"/>
  </mergeCells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>
    <oddFooter>&amp;L&amp;A&amp;C&amp;D&amp;R&amp;P from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5"/>
  </sheetPr>
  <dimension ref="A1:T28"/>
  <sheetViews>
    <sheetView workbookViewId="0"/>
  </sheetViews>
  <sheetFormatPr defaultRowHeight="12.75"/>
  <cols>
    <col min="1" max="1" width="1.85546875" style="437" customWidth="1"/>
    <col min="2" max="2" width="16.5703125" style="438" bestFit="1" customWidth="1"/>
    <col min="3" max="3" width="11.5703125" style="438" customWidth="1"/>
    <col min="4" max="4" width="9.140625" style="438"/>
    <col min="5" max="5" width="10.28515625" style="438" customWidth="1"/>
    <col min="6" max="6" width="9.28515625" style="438" customWidth="1"/>
    <col min="7" max="7" width="8.7109375" style="438" customWidth="1"/>
    <col min="8" max="8" width="10.28515625" style="438" customWidth="1"/>
    <col min="9" max="9" width="9.85546875" style="438" bestFit="1" customWidth="1"/>
    <col min="10" max="10" width="8.7109375" style="438" customWidth="1"/>
    <col min="11" max="11" width="8.5703125" style="438" customWidth="1"/>
    <col min="12" max="12" width="9.28515625" style="439" customWidth="1"/>
    <col min="13" max="14" width="8.42578125" style="438" customWidth="1"/>
    <col min="15" max="15" width="8.140625" style="445" customWidth="1"/>
    <col min="16" max="16" width="11.85546875" style="438" customWidth="1"/>
    <col min="17" max="17" width="10.140625" style="438" customWidth="1"/>
    <col min="18" max="18" width="3.5703125" style="438" customWidth="1"/>
    <col min="19" max="19" width="3.28515625" style="438" customWidth="1"/>
    <col min="20" max="20" width="10.140625" style="438" customWidth="1"/>
    <col min="21" max="255" width="9.140625" style="438"/>
    <col min="256" max="256" width="1.85546875" style="438" customWidth="1"/>
    <col min="257" max="257" width="16.5703125" style="438" bestFit="1" customWidth="1"/>
    <col min="258" max="258" width="9.5703125" style="438" bestFit="1" customWidth="1"/>
    <col min="259" max="260" width="9.140625" style="438"/>
    <col min="261" max="261" width="10.28515625" style="438" customWidth="1"/>
    <col min="262" max="262" width="9.28515625" style="438" customWidth="1"/>
    <col min="263" max="263" width="8.7109375" style="438" customWidth="1"/>
    <col min="264" max="264" width="10.28515625" style="438" customWidth="1"/>
    <col min="265" max="265" width="9.85546875" style="438" bestFit="1" customWidth="1"/>
    <col min="266" max="266" width="8.7109375" style="438" customWidth="1"/>
    <col min="267" max="267" width="8.5703125" style="438" customWidth="1"/>
    <col min="268" max="268" width="9.28515625" style="438" customWidth="1"/>
    <col min="269" max="270" width="8.42578125" style="438" customWidth="1"/>
    <col min="271" max="271" width="8.140625" style="438" customWidth="1"/>
    <col min="272" max="272" width="11.85546875" style="438" customWidth="1"/>
    <col min="273" max="273" width="10.140625" style="438" customWidth="1"/>
    <col min="274" max="274" width="3.5703125" style="438" customWidth="1"/>
    <col min="275" max="275" width="3.28515625" style="438" customWidth="1"/>
    <col min="276" max="276" width="10.140625" style="438" customWidth="1"/>
    <col min="277" max="511" width="9.140625" style="438"/>
    <col min="512" max="512" width="1.85546875" style="438" customWidth="1"/>
    <col min="513" max="513" width="16.5703125" style="438" bestFit="1" customWidth="1"/>
    <col min="514" max="514" width="9.5703125" style="438" bestFit="1" customWidth="1"/>
    <col min="515" max="516" width="9.140625" style="438"/>
    <col min="517" max="517" width="10.28515625" style="438" customWidth="1"/>
    <col min="518" max="518" width="9.28515625" style="438" customWidth="1"/>
    <col min="519" max="519" width="8.7109375" style="438" customWidth="1"/>
    <col min="520" max="520" width="10.28515625" style="438" customWidth="1"/>
    <col min="521" max="521" width="9.85546875" style="438" bestFit="1" customWidth="1"/>
    <col min="522" max="522" width="8.7109375" style="438" customWidth="1"/>
    <col min="523" max="523" width="8.5703125" style="438" customWidth="1"/>
    <col min="524" max="524" width="9.28515625" style="438" customWidth="1"/>
    <col min="525" max="526" width="8.42578125" style="438" customWidth="1"/>
    <col min="527" max="527" width="8.140625" style="438" customWidth="1"/>
    <col min="528" max="528" width="11.85546875" style="438" customWidth="1"/>
    <col min="529" max="529" width="10.140625" style="438" customWidth="1"/>
    <col min="530" max="530" width="3.5703125" style="438" customWidth="1"/>
    <col min="531" max="531" width="3.28515625" style="438" customWidth="1"/>
    <col min="532" max="532" width="10.140625" style="438" customWidth="1"/>
    <col min="533" max="767" width="9.140625" style="438"/>
    <col min="768" max="768" width="1.85546875" style="438" customWidth="1"/>
    <col min="769" max="769" width="16.5703125" style="438" bestFit="1" customWidth="1"/>
    <col min="770" max="770" width="9.5703125" style="438" bestFit="1" customWidth="1"/>
    <col min="771" max="772" width="9.140625" style="438"/>
    <col min="773" max="773" width="10.28515625" style="438" customWidth="1"/>
    <col min="774" max="774" width="9.28515625" style="438" customWidth="1"/>
    <col min="775" max="775" width="8.7109375" style="438" customWidth="1"/>
    <col min="776" max="776" width="10.28515625" style="438" customWidth="1"/>
    <col min="777" max="777" width="9.85546875" style="438" bestFit="1" customWidth="1"/>
    <col min="778" max="778" width="8.7109375" style="438" customWidth="1"/>
    <col min="779" max="779" width="8.5703125" style="438" customWidth="1"/>
    <col min="780" max="780" width="9.28515625" style="438" customWidth="1"/>
    <col min="781" max="782" width="8.42578125" style="438" customWidth="1"/>
    <col min="783" max="783" width="8.140625" style="438" customWidth="1"/>
    <col min="784" max="784" width="11.85546875" style="438" customWidth="1"/>
    <col min="785" max="785" width="10.140625" style="438" customWidth="1"/>
    <col min="786" max="786" width="3.5703125" style="438" customWidth="1"/>
    <col min="787" max="787" width="3.28515625" style="438" customWidth="1"/>
    <col min="788" max="788" width="10.140625" style="438" customWidth="1"/>
    <col min="789" max="1023" width="9.140625" style="438"/>
    <col min="1024" max="1024" width="1.85546875" style="438" customWidth="1"/>
    <col min="1025" max="1025" width="16.5703125" style="438" bestFit="1" customWidth="1"/>
    <col min="1026" max="1026" width="9.5703125" style="438" bestFit="1" customWidth="1"/>
    <col min="1027" max="1028" width="9.140625" style="438"/>
    <col min="1029" max="1029" width="10.28515625" style="438" customWidth="1"/>
    <col min="1030" max="1030" width="9.28515625" style="438" customWidth="1"/>
    <col min="1031" max="1031" width="8.7109375" style="438" customWidth="1"/>
    <col min="1032" max="1032" width="10.28515625" style="438" customWidth="1"/>
    <col min="1033" max="1033" width="9.85546875" style="438" bestFit="1" customWidth="1"/>
    <col min="1034" max="1034" width="8.7109375" style="438" customWidth="1"/>
    <col min="1035" max="1035" width="8.5703125" style="438" customWidth="1"/>
    <col min="1036" max="1036" width="9.28515625" style="438" customWidth="1"/>
    <col min="1037" max="1038" width="8.42578125" style="438" customWidth="1"/>
    <col min="1039" max="1039" width="8.140625" style="438" customWidth="1"/>
    <col min="1040" max="1040" width="11.85546875" style="438" customWidth="1"/>
    <col min="1041" max="1041" width="10.140625" style="438" customWidth="1"/>
    <col min="1042" max="1042" width="3.5703125" style="438" customWidth="1"/>
    <col min="1043" max="1043" width="3.28515625" style="438" customWidth="1"/>
    <col min="1044" max="1044" width="10.140625" style="438" customWidth="1"/>
    <col min="1045" max="1279" width="9.140625" style="438"/>
    <col min="1280" max="1280" width="1.85546875" style="438" customWidth="1"/>
    <col min="1281" max="1281" width="16.5703125" style="438" bestFit="1" customWidth="1"/>
    <col min="1282" max="1282" width="9.5703125" style="438" bestFit="1" customWidth="1"/>
    <col min="1283" max="1284" width="9.140625" style="438"/>
    <col min="1285" max="1285" width="10.28515625" style="438" customWidth="1"/>
    <col min="1286" max="1286" width="9.28515625" style="438" customWidth="1"/>
    <col min="1287" max="1287" width="8.7109375" style="438" customWidth="1"/>
    <col min="1288" max="1288" width="10.28515625" style="438" customWidth="1"/>
    <col min="1289" max="1289" width="9.85546875" style="438" bestFit="1" customWidth="1"/>
    <col min="1290" max="1290" width="8.7109375" style="438" customWidth="1"/>
    <col min="1291" max="1291" width="8.5703125" style="438" customWidth="1"/>
    <col min="1292" max="1292" width="9.28515625" style="438" customWidth="1"/>
    <col min="1293" max="1294" width="8.42578125" style="438" customWidth="1"/>
    <col min="1295" max="1295" width="8.140625" style="438" customWidth="1"/>
    <col min="1296" max="1296" width="11.85546875" style="438" customWidth="1"/>
    <col min="1297" max="1297" width="10.140625" style="438" customWidth="1"/>
    <col min="1298" max="1298" width="3.5703125" style="438" customWidth="1"/>
    <col min="1299" max="1299" width="3.28515625" style="438" customWidth="1"/>
    <col min="1300" max="1300" width="10.140625" style="438" customWidth="1"/>
    <col min="1301" max="1535" width="9.140625" style="438"/>
    <col min="1536" max="1536" width="1.85546875" style="438" customWidth="1"/>
    <col min="1537" max="1537" width="16.5703125" style="438" bestFit="1" customWidth="1"/>
    <col min="1538" max="1538" width="9.5703125" style="438" bestFit="1" customWidth="1"/>
    <col min="1539" max="1540" width="9.140625" style="438"/>
    <col min="1541" max="1541" width="10.28515625" style="438" customWidth="1"/>
    <col min="1542" max="1542" width="9.28515625" style="438" customWidth="1"/>
    <col min="1543" max="1543" width="8.7109375" style="438" customWidth="1"/>
    <col min="1544" max="1544" width="10.28515625" style="438" customWidth="1"/>
    <col min="1545" max="1545" width="9.85546875" style="438" bestFit="1" customWidth="1"/>
    <col min="1546" max="1546" width="8.7109375" style="438" customWidth="1"/>
    <col min="1547" max="1547" width="8.5703125" style="438" customWidth="1"/>
    <col min="1548" max="1548" width="9.28515625" style="438" customWidth="1"/>
    <col min="1549" max="1550" width="8.42578125" style="438" customWidth="1"/>
    <col min="1551" max="1551" width="8.140625" style="438" customWidth="1"/>
    <col min="1552" max="1552" width="11.85546875" style="438" customWidth="1"/>
    <col min="1553" max="1553" width="10.140625" style="438" customWidth="1"/>
    <col min="1554" max="1554" width="3.5703125" style="438" customWidth="1"/>
    <col min="1555" max="1555" width="3.28515625" style="438" customWidth="1"/>
    <col min="1556" max="1556" width="10.140625" style="438" customWidth="1"/>
    <col min="1557" max="1791" width="9.140625" style="438"/>
    <col min="1792" max="1792" width="1.85546875" style="438" customWidth="1"/>
    <col min="1793" max="1793" width="16.5703125" style="438" bestFit="1" customWidth="1"/>
    <col min="1794" max="1794" width="9.5703125" style="438" bestFit="1" customWidth="1"/>
    <col min="1795" max="1796" width="9.140625" style="438"/>
    <col min="1797" max="1797" width="10.28515625" style="438" customWidth="1"/>
    <col min="1798" max="1798" width="9.28515625" style="438" customWidth="1"/>
    <col min="1799" max="1799" width="8.7109375" style="438" customWidth="1"/>
    <col min="1800" max="1800" width="10.28515625" style="438" customWidth="1"/>
    <col min="1801" max="1801" width="9.85546875" style="438" bestFit="1" customWidth="1"/>
    <col min="1802" max="1802" width="8.7109375" style="438" customWidth="1"/>
    <col min="1803" max="1803" width="8.5703125" style="438" customWidth="1"/>
    <col min="1804" max="1804" width="9.28515625" style="438" customWidth="1"/>
    <col min="1805" max="1806" width="8.42578125" style="438" customWidth="1"/>
    <col min="1807" max="1807" width="8.140625" style="438" customWidth="1"/>
    <col min="1808" max="1808" width="11.85546875" style="438" customWidth="1"/>
    <col min="1809" max="1809" width="10.140625" style="438" customWidth="1"/>
    <col min="1810" max="1810" width="3.5703125" style="438" customWidth="1"/>
    <col min="1811" max="1811" width="3.28515625" style="438" customWidth="1"/>
    <col min="1812" max="1812" width="10.140625" style="438" customWidth="1"/>
    <col min="1813" max="2047" width="9.140625" style="438"/>
    <col min="2048" max="2048" width="1.85546875" style="438" customWidth="1"/>
    <col min="2049" max="2049" width="16.5703125" style="438" bestFit="1" customWidth="1"/>
    <col min="2050" max="2050" width="9.5703125" style="438" bestFit="1" customWidth="1"/>
    <col min="2051" max="2052" width="9.140625" style="438"/>
    <col min="2053" max="2053" width="10.28515625" style="438" customWidth="1"/>
    <col min="2054" max="2054" width="9.28515625" style="438" customWidth="1"/>
    <col min="2055" max="2055" width="8.7109375" style="438" customWidth="1"/>
    <col min="2056" max="2056" width="10.28515625" style="438" customWidth="1"/>
    <col min="2057" max="2057" width="9.85546875" style="438" bestFit="1" customWidth="1"/>
    <col min="2058" max="2058" width="8.7109375" style="438" customWidth="1"/>
    <col min="2059" max="2059" width="8.5703125" style="438" customWidth="1"/>
    <col min="2060" max="2060" width="9.28515625" style="438" customWidth="1"/>
    <col min="2061" max="2062" width="8.42578125" style="438" customWidth="1"/>
    <col min="2063" max="2063" width="8.140625" style="438" customWidth="1"/>
    <col min="2064" max="2064" width="11.85546875" style="438" customWidth="1"/>
    <col min="2065" max="2065" width="10.140625" style="438" customWidth="1"/>
    <col min="2066" max="2066" width="3.5703125" style="438" customWidth="1"/>
    <col min="2067" max="2067" width="3.28515625" style="438" customWidth="1"/>
    <col min="2068" max="2068" width="10.140625" style="438" customWidth="1"/>
    <col min="2069" max="2303" width="9.140625" style="438"/>
    <col min="2304" max="2304" width="1.85546875" style="438" customWidth="1"/>
    <col min="2305" max="2305" width="16.5703125" style="438" bestFit="1" customWidth="1"/>
    <col min="2306" max="2306" width="9.5703125" style="438" bestFit="1" customWidth="1"/>
    <col min="2307" max="2308" width="9.140625" style="438"/>
    <col min="2309" max="2309" width="10.28515625" style="438" customWidth="1"/>
    <col min="2310" max="2310" width="9.28515625" style="438" customWidth="1"/>
    <col min="2311" max="2311" width="8.7109375" style="438" customWidth="1"/>
    <col min="2312" max="2312" width="10.28515625" style="438" customWidth="1"/>
    <col min="2313" max="2313" width="9.85546875" style="438" bestFit="1" customWidth="1"/>
    <col min="2314" max="2314" width="8.7109375" style="438" customWidth="1"/>
    <col min="2315" max="2315" width="8.5703125" style="438" customWidth="1"/>
    <col min="2316" max="2316" width="9.28515625" style="438" customWidth="1"/>
    <col min="2317" max="2318" width="8.42578125" style="438" customWidth="1"/>
    <col min="2319" max="2319" width="8.140625" style="438" customWidth="1"/>
    <col min="2320" max="2320" width="11.85546875" style="438" customWidth="1"/>
    <col min="2321" max="2321" width="10.140625" style="438" customWidth="1"/>
    <col min="2322" max="2322" width="3.5703125" style="438" customWidth="1"/>
    <col min="2323" max="2323" width="3.28515625" style="438" customWidth="1"/>
    <col min="2324" max="2324" width="10.140625" style="438" customWidth="1"/>
    <col min="2325" max="2559" width="9.140625" style="438"/>
    <col min="2560" max="2560" width="1.85546875" style="438" customWidth="1"/>
    <col min="2561" max="2561" width="16.5703125" style="438" bestFit="1" customWidth="1"/>
    <col min="2562" max="2562" width="9.5703125" style="438" bestFit="1" customWidth="1"/>
    <col min="2563" max="2564" width="9.140625" style="438"/>
    <col min="2565" max="2565" width="10.28515625" style="438" customWidth="1"/>
    <col min="2566" max="2566" width="9.28515625" style="438" customWidth="1"/>
    <col min="2567" max="2567" width="8.7109375" style="438" customWidth="1"/>
    <col min="2568" max="2568" width="10.28515625" style="438" customWidth="1"/>
    <col min="2569" max="2569" width="9.85546875" style="438" bestFit="1" customWidth="1"/>
    <col min="2570" max="2570" width="8.7109375" style="438" customWidth="1"/>
    <col min="2571" max="2571" width="8.5703125" style="438" customWidth="1"/>
    <col min="2572" max="2572" width="9.28515625" style="438" customWidth="1"/>
    <col min="2573" max="2574" width="8.42578125" style="438" customWidth="1"/>
    <col min="2575" max="2575" width="8.140625" style="438" customWidth="1"/>
    <col min="2576" max="2576" width="11.85546875" style="438" customWidth="1"/>
    <col min="2577" max="2577" width="10.140625" style="438" customWidth="1"/>
    <col min="2578" max="2578" width="3.5703125" style="438" customWidth="1"/>
    <col min="2579" max="2579" width="3.28515625" style="438" customWidth="1"/>
    <col min="2580" max="2580" width="10.140625" style="438" customWidth="1"/>
    <col min="2581" max="2815" width="9.140625" style="438"/>
    <col min="2816" max="2816" width="1.85546875" style="438" customWidth="1"/>
    <col min="2817" max="2817" width="16.5703125" style="438" bestFit="1" customWidth="1"/>
    <col min="2818" max="2818" width="9.5703125" style="438" bestFit="1" customWidth="1"/>
    <col min="2819" max="2820" width="9.140625" style="438"/>
    <col min="2821" max="2821" width="10.28515625" style="438" customWidth="1"/>
    <col min="2822" max="2822" width="9.28515625" style="438" customWidth="1"/>
    <col min="2823" max="2823" width="8.7109375" style="438" customWidth="1"/>
    <col min="2824" max="2824" width="10.28515625" style="438" customWidth="1"/>
    <col min="2825" max="2825" width="9.85546875" style="438" bestFit="1" customWidth="1"/>
    <col min="2826" max="2826" width="8.7109375" style="438" customWidth="1"/>
    <col min="2827" max="2827" width="8.5703125" style="438" customWidth="1"/>
    <col min="2828" max="2828" width="9.28515625" style="438" customWidth="1"/>
    <col min="2829" max="2830" width="8.42578125" style="438" customWidth="1"/>
    <col min="2831" max="2831" width="8.140625" style="438" customWidth="1"/>
    <col min="2832" max="2832" width="11.85546875" style="438" customWidth="1"/>
    <col min="2833" max="2833" width="10.140625" style="438" customWidth="1"/>
    <col min="2834" max="2834" width="3.5703125" style="438" customWidth="1"/>
    <col min="2835" max="2835" width="3.28515625" style="438" customWidth="1"/>
    <col min="2836" max="2836" width="10.140625" style="438" customWidth="1"/>
    <col min="2837" max="3071" width="9.140625" style="438"/>
    <col min="3072" max="3072" width="1.85546875" style="438" customWidth="1"/>
    <col min="3073" max="3073" width="16.5703125" style="438" bestFit="1" customWidth="1"/>
    <col min="3074" max="3074" width="9.5703125" style="438" bestFit="1" customWidth="1"/>
    <col min="3075" max="3076" width="9.140625" style="438"/>
    <col min="3077" max="3077" width="10.28515625" style="438" customWidth="1"/>
    <col min="3078" max="3078" width="9.28515625" style="438" customWidth="1"/>
    <col min="3079" max="3079" width="8.7109375" style="438" customWidth="1"/>
    <col min="3080" max="3080" width="10.28515625" style="438" customWidth="1"/>
    <col min="3081" max="3081" width="9.85546875" style="438" bestFit="1" customWidth="1"/>
    <col min="3082" max="3082" width="8.7109375" style="438" customWidth="1"/>
    <col min="3083" max="3083" width="8.5703125" style="438" customWidth="1"/>
    <col min="3084" max="3084" width="9.28515625" style="438" customWidth="1"/>
    <col min="3085" max="3086" width="8.42578125" style="438" customWidth="1"/>
    <col min="3087" max="3087" width="8.140625" style="438" customWidth="1"/>
    <col min="3088" max="3088" width="11.85546875" style="438" customWidth="1"/>
    <col min="3089" max="3089" width="10.140625" style="438" customWidth="1"/>
    <col min="3090" max="3090" width="3.5703125" style="438" customWidth="1"/>
    <col min="3091" max="3091" width="3.28515625" style="438" customWidth="1"/>
    <col min="3092" max="3092" width="10.140625" style="438" customWidth="1"/>
    <col min="3093" max="3327" width="9.140625" style="438"/>
    <col min="3328" max="3328" width="1.85546875" style="438" customWidth="1"/>
    <col min="3329" max="3329" width="16.5703125" style="438" bestFit="1" customWidth="1"/>
    <col min="3330" max="3330" width="9.5703125" style="438" bestFit="1" customWidth="1"/>
    <col min="3331" max="3332" width="9.140625" style="438"/>
    <col min="3333" max="3333" width="10.28515625" style="438" customWidth="1"/>
    <col min="3334" max="3334" width="9.28515625" style="438" customWidth="1"/>
    <col min="3335" max="3335" width="8.7109375" style="438" customWidth="1"/>
    <col min="3336" max="3336" width="10.28515625" style="438" customWidth="1"/>
    <col min="3337" max="3337" width="9.85546875" style="438" bestFit="1" customWidth="1"/>
    <col min="3338" max="3338" width="8.7109375" style="438" customWidth="1"/>
    <col min="3339" max="3339" width="8.5703125" style="438" customWidth="1"/>
    <col min="3340" max="3340" width="9.28515625" style="438" customWidth="1"/>
    <col min="3341" max="3342" width="8.42578125" style="438" customWidth="1"/>
    <col min="3343" max="3343" width="8.140625" style="438" customWidth="1"/>
    <col min="3344" max="3344" width="11.85546875" style="438" customWidth="1"/>
    <col min="3345" max="3345" width="10.140625" style="438" customWidth="1"/>
    <col min="3346" max="3346" width="3.5703125" style="438" customWidth="1"/>
    <col min="3347" max="3347" width="3.28515625" style="438" customWidth="1"/>
    <col min="3348" max="3348" width="10.140625" style="438" customWidth="1"/>
    <col min="3349" max="3583" width="9.140625" style="438"/>
    <col min="3584" max="3584" width="1.85546875" style="438" customWidth="1"/>
    <col min="3585" max="3585" width="16.5703125" style="438" bestFit="1" customWidth="1"/>
    <col min="3586" max="3586" width="9.5703125" style="438" bestFit="1" customWidth="1"/>
    <col min="3587" max="3588" width="9.140625" style="438"/>
    <col min="3589" max="3589" width="10.28515625" style="438" customWidth="1"/>
    <col min="3590" max="3590" width="9.28515625" style="438" customWidth="1"/>
    <col min="3591" max="3591" width="8.7109375" style="438" customWidth="1"/>
    <col min="3592" max="3592" width="10.28515625" style="438" customWidth="1"/>
    <col min="3593" max="3593" width="9.85546875" style="438" bestFit="1" customWidth="1"/>
    <col min="3594" max="3594" width="8.7109375" style="438" customWidth="1"/>
    <col min="3595" max="3595" width="8.5703125" style="438" customWidth="1"/>
    <col min="3596" max="3596" width="9.28515625" style="438" customWidth="1"/>
    <col min="3597" max="3598" width="8.42578125" style="438" customWidth="1"/>
    <col min="3599" max="3599" width="8.140625" style="438" customWidth="1"/>
    <col min="3600" max="3600" width="11.85546875" style="438" customWidth="1"/>
    <col min="3601" max="3601" width="10.140625" style="438" customWidth="1"/>
    <col min="3602" max="3602" width="3.5703125" style="438" customWidth="1"/>
    <col min="3603" max="3603" width="3.28515625" style="438" customWidth="1"/>
    <col min="3604" max="3604" width="10.140625" style="438" customWidth="1"/>
    <col min="3605" max="3839" width="9.140625" style="438"/>
    <col min="3840" max="3840" width="1.85546875" style="438" customWidth="1"/>
    <col min="3841" max="3841" width="16.5703125" style="438" bestFit="1" customWidth="1"/>
    <col min="3842" max="3842" width="9.5703125" style="438" bestFit="1" customWidth="1"/>
    <col min="3843" max="3844" width="9.140625" style="438"/>
    <col min="3845" max="3845" width="10.28515625" style="438" customWidth="1"/>
    <col min="3846" max="3846" width="9.28515625" style="438" customWidth="1"/>
    <col min="3847" max="3847" width="8.7109375" style="438" customWidth="1"/>
    <col min="3848" max="3848" width="10.28515625" style="438" customWidth="1"/>
    <col min="3849" max="3849" width="9.85546875" style="438" bestFit="1" customWidth="1"/>
    <col min="3850" max="3850" width="8.7109375" style="438" customWidth="1"/>
    <col min="3851" max="3851" width="8.5703125" style="438" customWidth="1"/>
    <col min="3852" max="3852" width="9.28515625" style="438" customWidth="1"/>
    <col min="3853" max="3854" width="8.42578125" style="438" customWidth="1"/>
    <col min="3855" max="3855" width="8.140625" style="438" customWidth="1"/>
    <col min="3856" max="3856" width="11.85546875" style="438" customWidth="1"/>
    <col min="3857" max="3857" width="10.140625" style="438" customWidth="1"/>
    <col min="3858" max="3858" width="3.5703125" style="438" customWidth="1"/>
    <col min="3859" max="3859" width="3.28515625" style="438" customWidth="1"/>
    <col min="3860" max="3860" width="10.140625" style="438" customWidth="1"/>
    <col min="3861" max="4095" width="9.140625" style="438"/>
    <col min="4096" max="4096" width="1.85546875" style="438" customWidth="1"/>
    <col min="4097" max="4097" width="16.5703125" style="438" bestFit="1" customWidth="1"/>
    <col min="4098" max="4098" width="9.5703125" style="438" bestFit="1" customWidth="1"/>
    <col min="4099" max="4100" width="9.140625" style="438"/>
    <col min="4101" max="4101" width="10.28515625" style="438" customWidth="1"/>
    <col min="4102" max="4102" width="9.28515625" style="438" customWidth="1"/>
    <col min="4103" max="4103" width="8.7109375" style="438" customWidth="1"/>
    <col min="4104" max="4104" width="10.28515625" style="438" customWidth="1"/>
    <col min="4105" max="4105" width="9.85546875" style="438" bestFit="1" customWidth="1"/>
    <col min="4106" max="4106" width="8.7109375" style="438" customWidth="1"/>
    <col min="4107" max="4107" width="8.5703125" style="438" customWidth="1"/>
    <col min="4108" max="4108" width="9.28515625" style="438" customWidth="1"/>
    <col min="4109" max="4110" width="8.42578125" style="438" customWidth="1"/>
    <col min="4111" max="4111" width="8.140625" style="438" customWidth="1"/>
    <col min="4112" max="4112" width="11.85546875" style="438" customWidth="1"/>
    <col min="4113" max="4113" width="10.140625" style="438" customWidth="1"/>
    <col min="4114" max="4114" width="3.5703125" style="438" customWidth="1"/>
    <col min="4115" max="4115" width="3.28515625" style="438" customWidth="1"/>
    <col min="4116" max="4116" width="10.140625" style="438" customWidth="1"/>
    <col min="4117" max="4351" width="9.140625" style="438"/>
    <col min="4352" max="4352" width="1.85546875" style="438" customWidth="1"/>
    <col min="4353" max="4353" width="16.5703125" style="438" bestFit="1" customWidth="1"/>
    <col min="4354" max="4354" width="9.5703125" style="438" bestFit="1" customWidth="1"/>
    <col min="4355" max="4356" width="9.140625" style="438"/>
    <col min="4357" max="4357" width="10.28515625" style="438" customWidth="1"/>
    <col min="4358" max="4358" width="9.28515625" style="438" customWidth="1"/>
    <col min="4359" max="4359" width="8.7109375" style="438" customWidth="1"/>
    <col min="4360" max="4360" width="10.28515625" style="438" customWidth="1"/>
    <col min="4361" max="4361" width="9.85546875" style="438" bestFit="1" customWidth="1"/>
    <col min="4362" max="4362" width="8.7109375" style="438" customWidth="1"/>
    <col min="4363" max="4363" width="8.5703125" style="438" customWidth="1"/>
    <col min="4364" max="4364" width="9.28515625" style="438" customWidth="1"/>
    <col min="4365" max="4366" width="8.42578125" style="438" customWidth="1"/>
    <col min="4367" max="4367" width="8.140625" style="438" customWidth="1"/>
    <col min="4368" max="4368" width="11.85546875" style="438" customWidth="1"/>
    <col min="4369" max="4369" width="10.140625" style="438" customWidth="1"/>
    <col min="4370" max="4370" width="3.5703125" style="438" customWidth="1"/>
    <col min="4371" max="4371" width="3.28515625" style="438" customWidth="1"/>
    <col min="4372" max="4372" width="10.140625" style="438" customWidth="1"/>
    <col min="4373" max="4607" width="9.140625" style="438"/>
    <col min="4608" max="4608" width="1.85546875" style="438" customWidth="1"/>
    <col min="4609" max="4609" width="16.5703125" style="438" bestFit="1" customWidth="1"/>
    <col min="4610" max="4610" width="9.5703125" style="438" bestFit="1" customWidth="1"/>
    <col min="4611" max="4612" width="9.140625" style="438"/>
    <col min="4613" max="4613" width="10.28515625" style="438" customWidth="1"/>
    <col min="4614" max="4614" width="9.28515625" style="438" customWidth="1"/>
    <col min="4615" max="4615" width="8.7109375" style="438" customWidth="1"/>
    <col min="4616" max="4616" width="10.28515625" style="438" customWidth="1"/>
    <col min="4617" max="4617" width="9.85546875" style="438" bestFit="1" customWidth="1"/>
    <col min="4618" max="4618" width="8.7109375" style="438" customWidth="1"/>
    <col min="4619" max="4619" width="8.5703125" style="438" customWidth="1"/>
    <col min="4620" max="4620" width="9.28515625" style="438" customWidth="1"/>
    <col min="4621" max="4622" width="8.42578125" style="438" customWidth="1"/>
    <col min="4623" max="4623" width="8.140625" style="438" customWidth="1"/>
    <col min="4624" max="4624" width="11.85546875" style="438" customWidth="1"/>
    <col min="4625" max="4625" width="10.140625" style="438" customWidth="1"/>
    <col min="4626" max="4626" width="3.5703125" style="438" customWidth="1"/>
    <col min="4627" max="4627" width="3.28515625" style="438" customWidth="1"/>
    <col min="4628" max="4628" width="10.140625" style="438" customWidth="1"/>
    <col min="4629" max="4863" width="9.140625" style="438"/>
    <col min="4864" max="4864" width="1.85546875" style="438" customWidth="1"/>
    <col min="4865" max="4865" width="16.5703125" style="438" bestFit="1" customWidth="1"/>
    <col min="4866" max="4866" width="9.5703125" style="438" bestFit="1" customWidth="1"/>
    <col min="4867" max="4868" width="9.140625" style="438"/>
    <col min="4869" max="4869" width="10.28515625" style="438" customWidth="1"/>
    <col min="4870" max="4870" width="9.28515625" style="438" customWidth="1"/>
    <col min="4871" max="4871" width="8.7109375" style="438" customWidth="1"/>
    <col min="4872" max="4872" width="10.28515625" style="438" customWidth="1"/>
    <col min="4873" max="4873" width="9.85546875" style="438" bestFit="1" customWidth="1"/>
    <col min="4874" max="4874" width="8.7109375" style="438" customWidth="1"/>
    <col min="4875" max="4875" width="8.5703125" style="438" customWidth="1"/>
    <col min="4876" max="4876" width="9.28515625" style="438" customWidth="1"/>
    <col min="4877" max="4878" width="8.42578125" style="438" customWidth="1"/>
    <col min="4879" max="4879" width="8.140625" style="438" customWidth="1"/>
    <col min="4880" max="4880" width="11.85546875" style="438" customWidth="1"/>
    <col min="4881" max="4881" width="10.140625" style="438" customWidth="1"/>
    <col min="4882" max="4882" width="3.5703125" style="438" customWidth="1"/>
    <col min="4883" max="4883" width="3.28515625" style="438" customWidth="1"/>
    <col min="4884" max="4884" width="10.140625" style="438" customWidth="1"/>
    <col min="4885" max="5119" width="9.140625" style="438"/>
    <col min="5120" max="5120" width="1.85546875" style="438" customWidth="1"/>
    <col min="5121" max="5121" width="16.5703125" style="438" bestFit="1" customWidth="1"/>
    <col min="5122" max="5122" width="9.5703125" style="438" bestFit="1" customWidth="1"/>
    <col min="5123" max="5124" width="9.140625" style="438"/>
    <col min="5125" max="5125" width="10.28515625" style="438" customWidth="1"/>
    <col min="5126" max="5126" width="9.28515625" style="438" customWidth="1"/>
    <col min="5127" max="5127" width="8.7109375" style="438" customWidth="1"/>
    <col min="5128" max="5128" width="10.28515625" style="438" customWidth="1"/>
    <col min="5129" max="5129" width="9.85546875" style="438" bestFit="1" customWidth="1"/>
    <col min="5130" max="5130" width="8.7109375" style="438" customWidth="1"/>
    <col min="5131" max="5131" width="8.5703125" style="438" customWidth="1"/>
    <col min="5132" max="5132" width="9.28515625" style="438" customWidth="1"/>
    <col min="5133" max="5134" width="8.42578125" style="438" customWidth="1"/>
    <col min="5135" max="5135" width="8.140625" style="438" customWidth="1"/>
    <col min="5136" max="5136" width="11.85546875" style="438" customWidth="1"/>
    <col min="5137" max="5137" width="10.140625" style="438" customWidth="1"/>
    <col min="5138" max="5138" width="3.5703125" style="438" customWidth="1"/>
    <col min="5139" max="5139" width="3.28515625" style="438" customWidth="1"/>
    <col min="5140" max="5140" width="10.140625" style="438" customWidth="1"/>
    <col min="5141" max="5375" width="9.140625" style="438"/>
    <col min="5376" max="5376" width="1.85546875" style="438" customWidth="1"/>
    <col min="5377" max="5377" width="16.5703125" style="438" bestFit="1" customWidth="1"/>
    <col min="5378" max="5378" width="9.5703125" style="438" bestFit="1" customWidth="1"/>
    <col min="5379" max="5380" width="9.140625" style="438"/>
    <col min="5381" max="5381" width="10.28515625" style="438" customWidth="1"/>
    <col min="5382" max="5382" width="9.28515625" style="438" customWidth="1"/>
    <col min="5383" max="5383" width="8.7109375" style="438" customWidth="1"/>
    <col min="5384" max="5384" width="10.28515625" style="438" customWidth="1"/>
    <col min="5385" max="5385" width="9.85546875" style="438" bestFit="1" customWidth="1"/>
    <col min="5386" max="5386" width="8.7109375" style="438" customWidth="1"/>
    <col min="5387" max="5387" width="8.5703125" style="438" customWidth="1"/>
    <col min="5388" max="5388" width="9.28515625" style="438" customWidth="1"/>
    <col min="5389" max="5390" width="8.42578125" style="438" customWidth="1"/>
    <col min="5391" max="5391" width="8.140625" style="438" customWidth="1"/>
    <col min="5392" max="5392" width="11.85546875" style="438" customWidth="1"/>
    <col min="5393" max="5393" width="10.140625" style="438" customWidth="1"/>
    <col min="5394" max="5394" width="3.5703125" style="438" customWidth="1"/>
    <col min="5395" max="5395" width="3.28515625" style="438" customWidth="1"/>
    <col min="5396" max="5396" width="10.140625" style="438" customWidth="1"/>
    <col min="5397" max="5631" width="9.140625" style="438"/>
    <col min="5632" max="5632" width="1.85546875" style="438" customWidth="1"/>
    <col min="5633" max="5633" width="16.5703125" style="438" bestFit="1" customWidth="1"/>
    <col min="5634" max="5634" width="9.5703125" style="438" bestFit="1" customWidth="1"/>
    <col min="5635" max="5636" width="9.140625" style="438"/>
    <col min="5637" max="5637" width="10.28515625" style="438" customWidth="1"/>
    <col min="5638" max="5638" width="9.28515625" style="438" customWidth="1"/>
    <col min="5639" max="5639" width="8.7109375" style="438" customWidth="1"/>
    <col min="5640" max="5640" width="10.28515625" style="438" customWidth="1"/>
    <col min="5641" max="5641" width="9.85546875" style="438" bestFit="1" customWidth="1"/>
    <col min="5642" max="5642" width="8.7109375" style="438" customWidth="1"/>
    <col min="5643" max="5643" width="8.5703125" style="438" customWidth="1"/>
    <col min="5644" max="5644" width="9.28515625" style="438" customWidth="1"/>
    <col min="5645" max="5646" width="8.42578125" style="438" customWidth="1"/>
    <col min="5647" max="5647" width="8.140625" style="438" customWidth="1"/>
    <col min="5648" max="5648" width="11.85546875" style="438" customWidth="1"/>
    <col min="5649" max="5649" width="10.140625" style="438" customWidth="1"/>
    <col min="5650" max="5650" width="3.5703125" style="438" customWidth="1"/>
    <col min="5651" max="5651" width="3.28515625" style="438" customWidth="1"/>
    <col min="5652" max="5652" width="10.140625" style="438" customWidth="1"/>
    <col min="5653" max="5887" width="9.140625" style="438"/>
    <col min="5888" max="5888" width="1.85546875" style="438" customWidth="1"/>
    <col min="5889" max="5889" width="16.5703125" style="438" bestFit="1" customWidth="1"/>
    <col min="5890" max="5890" width="9.5703125" style="438" bestFit="1" customWidth="1"/>
    <col min="5891" max="5892" width="9.140625" style="438"/>
    <col min="5893" max="5893" width="10.28515625" style="438" customWidth="1"/>
    <col min="5894" max="5894" width="9.28515625" style="438" customWidth="1"/>
    <col min="5895" max="5895" width="8.7109375" style="438" customWidth="1"/>
    <col min="5896" max="5896" width="10.28515625" style="438" customWidth="1"/>
    <col min="5897" max="5897" width="9.85546875" style="438" bestFit="1" customWidth="1"/>
    <col min="5898" max="5898" width="8.7109375" style="438" customWidth="1"/>
    <col min="5899" max="5899" width="8.5703125" style="438" customWidth="1"/>
    <col min="5900" max="5900" width="9.28515625" style="438" customWidth="1"/>
    <col min="5901" max="5902" width="8.42578125" style="438" customWidth="1"/>
    <col min="5903" max="5903" width="8.140625" style="438" customWidth="1"/>
    <col min="5904" max="5904" width="11.85546875" style="438" customWidth="1"/>
    <col min="5905" max="5905" width="10.140625" style="438" customWidth="1"/>
    <col min="5906" max="5906" width="3.5703125" style="438" customWidth="1"/>
    <col min="5907" max="5907" width="3.28515625" style="438" customWidth="1"/>
    <col min="5908" max="5908" width="10.140625" style="438" customWidth="1"/>
    <col min="5909" max="6143" width="9.140625" style="438"/>
    <col min="6144" max="6144" width="1.85546875" style="438" customWidth="1"/>
    <col min="6145" max="6145" width="16.5703125" style="438" bestFit="1" customWidth="1"/>
    <col min="6146" max="6146" width="9.5703125" style="438" bestFit="1" customWidth="1"/>
    <col min="6147" max="6148" width="9.140625" style="438"/>
    <col min="6149" max="6149" width="10.28515625" style="438" customWidth="1"/>
    <col min="6150" max="6150" width="9.28515625" style="438" customWidth="1"/>
    <col min="6151" max="6151" width="8.7109375" style="438" customWidth="1"/>
    <col min="6152" max="6152" width="10.28515625" style="438" customWidth="1"/>
    <col min="6153" max="6153" width="9.85546875" style="438" bestFit="1" customWidth="1"/>
    <col min="6154" max="6154" width="8.7109375" style="438" customWidth="1"/>
    <col min="6155" max="6155" width="8.5703125" style="438" customWidth="1"/>
    <col min="6156" max="6156" width="9.28515625" style="438" customWidth="1"/>
    <col min="6157" max="6158" width="8.42578125" style="438" customWidth="1"/>
    <col min="6159" max="6159" width="8.140625" style="438" customWidth="1"/>
    <col min="6160" max="6160" width="11.85546875" style="438" customWidth="1"/>
    <col min="6161" max="6161" width="10.140625" style="438" customWidth="1"/>
    <col min="6162" max="6162" width="3.5703125" style="438" customWidth="1"/>
    <col min="6163" max="6163" width="3.28515625" style="438" customWidth="1"/>
    <col min="6164" max="6164" width="10.140625" style="438" customWidth="1"/>
    <col min="6165" max="6399" width="9.140625" style="438"/>
    <col min="6400" max="6400" width="1.85546875" style="438" customWidth="1"/>
    <col min="6401" max="6401" width="16.5703125" style="438" bestFit="1" customWidth="1"/>
    <col min="6402" max="6402" width="9.5703125" style="438" bestFit="1" customWidth="1"/>
    <col min="6403" max="6404" width="9.140625" style="438"/>
    <col min="6405" max="6405" width="10.28515625" style="438" customWidth="1"/>
    <col min="6406" max="6406" width="9.28515625" style="438" customWidth="1"/>
    <col min="6407" max="6407" width="8.7109375" style="438" customWidth="1"/>
    <col min="6408" max="6408" width="10.28515625" style="438" customWidth="1"/>
    <col min="6409" max="6409" width="9.85546875" style="438" bestFit="1" customWidth="1"/>
    <col min="6410" max="6410" width="8.7109375" style="438" customWidth="1"/>
    <col min="6411" max="6411" width="8.5703125" style="438" customWidth="1"/>
    <col min="6412" max="6412" width="9.28515625" style="438" customWidth="1"/>
    <col min="6413" max="6414" width="8.42578125" style="438" customWidth="1"/>
    <col min="6415" max="6415" width="8.140625" style="438" customWidth="1"/>
    <col min="6416" max="6416" width="11.85546875" style="438" customWidth="1"/>
    <col min="6417" max="6417" width="10.140625" style="438" customWidth="1"/>
    <col min="6418" max="6418" width="3.5703125" style="438" customWidth="1"/>
    <col min="6419" max="6419" width="3.28515625" style="438" customWidth="1"/>
    <col min="6420" max="6420" width="10.140625" style="438" customWidth="1"/>
    <col min="6421" max="6655" width="9.140625" style="438"/>
    <col min="6656" max="6656" width="1.85546875" style="438" customWidth="1"/>
    <col min="6657" max="6657" width="16.5703125" style="438" bestFit="1" customWidth="1"/>
    <col min="6658" max="6658" width="9.5703125" style="438" bestFit="1" customWidth="1"/>
    <col min="6659" max="6660" width="9.140625" style="438"/>
    <col min="6661" max="6661" width="10.28515625" style="438" customWidth="1"/>
    <col min="6662" max="6662" width="9.28515625" style="438" customWidth="1"/>
    <col min="6663" max="6663" width="8.7109375" style="438" customWidth="1"/>
    <col min="6664" max="6664" width="10.28515625" style="438" customWidth="1"/>
    <col min="6665" max="6665" width="9.85546875" style="438" bestFit="1" customWidth="1"/>
    <col min="6666" max="6666" width="8.7109375" style="438" customWidth="1"/>
    <col min="6667" max="6667" width="8.5703125" style="438" customWidth="1"/>
    <col min="6668" max="6668" width="9.28515625" style="438" customWidth="1"/>
    <col min="6669" max="6670" width="8.42578125" style="438" customWidth="1"/>
    <col min="6671" max="6671" width="8.140625" style="438" customWidth="1"/>
    <col min="6672" max="6672" width="11.85546875" style="438" customWidth="1"/>
    <col min="6673" max="6673" width="10.140625" style="438" customWidth="1"/>
    <col min="6674" max="6674" width="3.5703125" style="438" customWidth="1"/>
    <col min="6675" max="6675" width="3.28515625" style="438" customWidth="1"/>
    <col min="6676" max="6676" width="10.140625" style="438" customWidth="1"/>
    <col min="6677" max="6911" width="9.140625" style="438"/>
    <col min="6912" max="6912" width="1.85546875" style="438" customWidth="1"/>
    <col min="6913" max="6913" width="16.5703125" style="438" bestFit="1" customWidth="1"/>
    <col min="6914" max="6914" width="9.5703125" style="438" bestFit="1" customWidth="1"/>
    <col min="6915" max="6916" width="9.140625" style="438"/>
    <col min="6917" max="6917" width="10.28515625" style="438" customWidth="1"/>
    <col min="6918" max="6918" width="9.28515625" style="438" customWidth="1"/>
    <col min="6919" max="6919" width="8.7109375" style="438" customWidth="1"/>
    <col min="6920" max="6920" width="10.28515625" style="438" customWidth="1"/>
    <col min="6921" max="6921" width="9.85546875" style="438" bestFit="1" customWidth="1"/>
    <col min="6922" max="6922" width="8.7109375" style="438" customWidth="1"/>
    <col min="6923" max="6923" width="8.5703125" style="438" customWidth="1"/>
    <col min="6924" max="6924" width="9.28515625" style="438" customWidth="1"/>
    <col min="6925" max="6926" width="8.42578125" style="438" customWidth="1"/>
    <col min="6927" max="6927" width="8.140625" style="438" customWidth="1"/>
    <col min="6928" max="6928" width="11.85546875" style="438" customWidth="1"/>
    <col min="6929" max="6929" width="10.140625" style="438" customWidth="1"/>
    <col min="6930" max="6930" width="3.5703125" style="438" customWidth="1"/>
    <col min="6931" max="6931" width="3.28515625" style="438" customWidth="1"/>
    <col min="6932" max="6932" width="10.140625" style="438" customWidth="1"/>
    <col min="6933" max="7167" width="9.140625" style="438"/>
    <col min="7168" max="7168" width="1.85546875" style="438" customWidth="1"/>
    <col min="7169" max="7169" width="16.5703125" style="438" bestFit="1" customWidth="1"/>
    <col min="7170" max="7170" width="9.5703125" style="438" bestFit="1" customWidth="1"/>
    <col min="7171" max="7172" width="9.140625" style="438"/>
    <col min="7173" max="7173" width="10.28515625" style="438" customWidth="1"/>
    <col min="7174" max="7174" width="9.28515625" style="438" customWidth="1"/>
    <col min="7175" max="7175" width="8.7109375" style="438" customWidth="1"/>
    <col min="7176" max="7176" width="10.28515625" style="438" customWidth="1"/>
    <col min="7177" max="7177" width="9.85546875" style="438" bestFit="1" customWidth="1"/>
    <col min="7178" max="7178" width="8.7109375" style="438" customWidth="1"/>
    <col min="7179" max="7179" width="8.5703125" style="438" customWidth="1"/>
    <col min="7180" max="7180" width="9.28515625" style="438" customWidth="1"/>
    <col min="7181" max="7182" width="8.42578125" style="438" customWidth="1"/>
    <col min="7183" max="7183" width="8.140625" style="438" customWidth="1"/>
    <col min="7184" max="7184" width="11.85546875" style="438" customWidth="1"/>
    <col min="7185" max="7185" width="10.140625" style="438" customWidth="1"/>
    <col min="7186" max="7186" width="3.5703125" style="438" customWidth="1"/>
    <col min="7187" max="7187" width="3.28515625" style="438" customWidth="1"/>
    <col min="7188" max="7188" width="10.140625" style="438" customWidth="1"/>
    <col min="7189" max="7423" width="9.140625" style="438"/>
    <col min="7424" max="7424" width="1.85546875" style="438" customWidth="1"/>
    <col min="7425" max="7425" width="16.5703125" style="438" bestFit="1" customWidth="1"/>
    <col min="7426" max="7426" width="9.5703125" style="438" bestFit="1" customWidth="1"/>
    <col min="7427" max="7428" width="9.140625" style="438"/>
    <col min="7429" max="7429" width="10.28515625" style="438" customWidth="1"/>
    <col min="7430" max="7430" width="9.28515625" style="438" customWidth="1"/>
    <col min="7431" max="7431" width="8.7109375" style="438" customWidth="1"/>
    <col min="7432" max="7432" width="10.28515625" style="438" customWidth="1"/>
    <col min="7433" max="7433" width="9.85546875" style="438" bestFit="1" customWidth="1"/>
    <col min="7434" max="7434" width="8.7109375" style="438" customWidth="1"/>
    <col min="7435" max="7435" width="8.5703125" style="438" customWidth="1"/>
    <col min="7436" max="7436" width="9.28515625" style="438" customWidth="1"/>
    <col min="7437" max="7438" width="8.42578125" style="438" customWidth="1"/>
    <col min="7439" max="7439" width="8.140625" style="438" customWidth="1"/>
    <col min="7440" max="7440" width="11.85546875" style="438" customWidth="1"/>
    <col min="7441" max="7441" width="10.140625" style="438" customWidth="1"/>
    <col min="7442" max="7442" width="3.5703125" style="438" customWidth="1"/>
    <col min="7443" max="7443" width="3.28515625" style="438" customWidth="1"/>
    <col min="7444" max="7444" width="10.140625" style="438" customWidth="1"/>
    <col min="7445" max="7679" width="9.140625" style="438"/>
    <col min="7680" max="7680" width="1.85546875" style="438" customWidth="1"/>
    <col min="7681" max="7681" width="16.5703125" style="438" bestFit="1" customWidth="1"/>
    <col min="7682" max="7682" width="9.5703125" style="438" bestFit="1" customWidth="1"/>
    <col min="7683" max="7684" width="9.140625" style="438"/>
    <col min="7685" max="7685" width="10.28515625" style="438" customWidth="1"/>
    <col min="7686" max="7686" width="9.28515625" style="438" customWidth="1"/>
    <col min="7687" max="7687" width="8.7109375" style="438" customWidth="1"/>
    <col min="7688" max="7688" width="10.28515625" style="438" customWidth="1"/>
    <col min="7689" max="7689" width="9.85546875" style="438" bestFit="1" customWidth="1"/>
    <col min="7690" max="7690" width="8.7109375" style="438" customWidth="1"/>
    <col min="7691" max="7691" width="8.5703125" style="438" customWidth="1"/>
    <col min="7692" max="7692" width="9.28515625" style="438" customWidth="1"/>
    <col min="7693" max="7694" width="8.42578125" style="438" customWidth="1"/>
    <col min="7695" max="7695" width="8.140625" style="438" customWidth="1"/>
    <col min="7696" max="7696" width="11.85546875" style="438" customWidth="1"/>
    <col min="7697" max="7697" width="10.140625" style="438" customWidth="1"/>
    <col min="7698" max="7698" width="3.5703125" style="438" customWidth="1"/>
    <col min="7699" max="7699" width="3.28515625" style="438" customWidth="1"/>
    <col min="7700" max="7700" width="10.140625" style="438" customWidth="1"/>
    <col min="7701" max="7935" width="9.140625" style="438"/>
    <col min="7936" max="7936" width="1.85546875" style="438" customWidth="1"/>
    <col min="7937" max="7937" width="16.5703125" style="438" bestFit="1" customWidth="1"/>
    <col min="7938" max="7938" width="9.5703125" style="438" bestFit="1" customWidth="1"/>
    <col min="7939" max="7940" width="9.140625" style="438"/>
    <col min="7941" max="7941" width="10.28515625" style="438" customWidth="1"/>
    <col min="7942" max="7942" width="9.28515625" style="438" customWidth="1"/>
    <col min="7943" max="7943" width="8.7109375" style="438" customWidth="1"/>
    <col min="7944" max="7944" width="10.28515625" style="438" customWidth="1"/>
    <col min="7945" max="7945" width="9.85546875" style="438" bestFit="1" customWidth="1"/>
    <col min="7946" max="7946" width="8.7109375" style="438" customWidth="1"/>
    <col min="7947" max="7947" width="8.5703125" style="438" customWidth="1"/>
    <col min="7948" max="7948" width="9.28515625" style="438" customWidth="1"/>
    <col min="7949" max="7950" width="8.42578125" style="438" customWidth="1"/>
    <col min="7951" max="7951" width="8.140625" style="438" customWidth="1"/>
    <col min="7952" max="7952" width="11.85546875" style="438" customWidth="1"/>
    <col min="7953" max="7953" width="10.140625" style="438" customWidth="1"/>
    <col min="7954" max="7954" width="3.5703125" style="438" customWidth="1"/>
    <col min="7955" max="7955" width="3.28515625" style="438" customWidth="1"/>
    <col min="7956" max="7956" width="10.140625" style="438" customWidth="1"/>
    <col min="7957" max="8191" width="9.140625" style="438"/>
    <col min="8192" max="8192" width="1.85546875" style="438" customWidth="1"/>
    <col min="8193" max="8193" width="16.5703125" style="438" bestFit="1" customWidth="1"/>
    <col min="8194" max="8194" width="9.5703125" style="438" bestFit="1" customWidth="1"/>
    <col min="8195" max="8196" width="9.140625" style="438"/>
    <col min="8197" max="8197" width="10.28515625" style="438" customWidth="1"/>
    <col min="8198" max="8198" width="9.28515625" style="438" customWidth="1"/>
    <col min="8199" max="8199" width="8.7109375" style="438" customWidth="1"/>
    <col min="8200" max="8200" width="10.28515625" style="438" customWidth="1"/>
    <col min="8201" max="8201" width="9.85546875" style="438" bestFit="1" customWidth="1"/>
    <col min="8202" max="8202" width="8.7109375" style="438" customWidth="1"/>
    <col min="8203" max="8203" width="8.5703125" style="438" customWidth="1"/>
    <col min="8204" max="8204" width="9.28515625" style="438" customWidth="1"/>
    <col min="8205" max="8206" width="8.42578125" style="438" customWidth="1"/>
    <col min="8207" max="8207" width="8.140625" style="438" customWidth="1"/>
    <col min="8208" max="8208" width="11.85546875" style="438" customWidth="1"/>
    <col min="8209" max="8209" width="10.140625" style="438" customWidth="1"/>
    <col min="8210" max="8210" width="3.5703125" style="438" customWidth="1"/>
    <col min="8211" max="8211" width="3.28515625" style="438" customWidth="1"/>
    <col min="8212" max="8212" width="10.140625" style="438" customWidth="1"/>
    <col min="8213" max="8447" width="9.140625" style="438"/>
    <col min="8448" max="8448" width="1.85546875" style="438" customWidth="1"/>
    <col min="8449" max="8449" width="16.5703125" style="438" bestFit="1" customWidth="1"/>
    <col min="8450" max="8450" width="9.5703125" style="438" bestFit="1" customWidth="1"/>
    <col min="8451" max="8452" width="9.140625" style="438"/>
    <col min="8453" max="8453" width="10.28515625" style="438" customWidth="1"/>
    <col min="8454" max="8454" width="9.28515625" style="438" customWidth="1"/>
    <col min="8455" max="8455" width="8.7109375" style="438" customWidth="1"/>
    <col min="8456" max="8456" width="10.28515625" style="438" customWidth="1"/>
    <col min="8457" max="8457" width="9.85546875" style="438" bestFit="1" customWidth="1"/>
    <col min="8458" max="8458" width="8.7109375" style="438" customWidth="1"/>
    <col min="8459" max="8459" width="8.5703125" style="438" customWidth="1"/>
    <col min="8460" max="8460" width="9.28515625" style="438" customWidth="1"/>
    <col min="8461" max="8462" width="8.42578125" style="438" customWidth="1"/>
    <col min="8463" max="8463" width="8.140625" style="438" customWidth="1"/>
    <col min="8464" max="8464" width="11.85546875" style="438" customWidth="1"/>
    <col min="8465" max="8465" width="10.140625" style="438" customWidth="1"/>
    <col min="8466" max="8466" width="3.5703125" style="438" customWidth="1"/>
    <col min="8467" max="8467" width="3.28515625" style="438" customWidth="1"/>
    <col min="8468" max="8468" width="10.140625" style="438" customWidth="1"/>
    <col min="8469" max="8703" width="9.140625" style="438"/>
    <col min="8704" max="8704" width="1.85546875" style="438" customWidth="1"/>
    <col min="8705" max="8705" width="16.5703125" style="438" bestFit="1" customWidth="1"/>
    <col min="8706" max="8706" width="9.5703125" style="438" bestFit="1" customWidth="1"/>
    <col min="8707" max="8708" width="9.140625" style="438"/>
    <col min="8709" max="8709" width="10.28515625" style="438" customWidth="1"/>
    <col min="8710" max="8710" width="9.28515625" style="438" customWidth="1"/>
    <col min="8711" max="8711" width="8.7109375" style="438" customWidth="1"/>
    <col min="8712" max="8712" width="10.28515625" style="438" customWidth="1"/>
    <col min="8713" max="8713" width="9.85546875" style="438" bestFit="1" customWidth="1"/>
    <col min="8714" max="8714" width="8.7109375" style="438" customWidth="1"/>
    <col min="8715" max="8715" width="8.5703125" style="438" customWidth="1"/>
    <col min="8716" max="8716" width="9.28515625" style="438" customWidth="1"/>
    <col min="8717" max="8718" width="8.42578125" style="438" customWidth="1"/>
    <col min="8719" max="8719" width="8.140625" style="438" customWidth="1"/>
    <col min="8720" max="8720" width="11.85546875" style="438" customWidth="1"/>
    <col min="8721" max="8721" width="10.140625" style="438" customWidth="1"/>
    <col min="8722" max="8722" width="3.5703125" style="438" customWidth="1"/>
    <col min="8723" max="8723" width="3.28515625" style="438" customWidth="1"/>
    <col min="8724" max="8724" width="10.140625" style="438" customWidth="1"/>
    <col min="8725" max="8959" width="9.140625" style="438"/>
    <col min="8960" max="8960" width="1.85546875" style="438" customWidth="1"/>
    <col min="8961" max="8961" width="16.5703125" style="438" bestFit="1" customWidth="1"/>
    <col min="8962" max="8962" width="9.5703125" style="438" bestFit="1" customWidth="1"/>
    <col min="8963" max="8964" width="9.140625" style="438"/>
    <col min="8965" max="8965" width="10.28515625" style="438" customWidth="1"/>
    <col min="8966" max="8966" width="9.28515625" style="438" customWidth="1"/>
    <col min="8967" max="8967" width="8.7109375" style="438" customWidth="1"/>
    <col min="8968" max="8968" width="10.28515625" style="438" customWidth="1"/>
    <col min="8969" max="8969" width="9.85546875" style="438" bestFit="1" customWidth="1"/>
    <col min="8970" max="8970" width="8.7109375" style="438" customWidth="1"/>
    <col min="8971" max="8971" width="8.5703125" style="438" customWidth="1"/>
    <col min="8972" max="8972" width="9.28515625" style="438" customWidth="1"/>
    <col min="8973" max="8974" width="8.42578125" style="438" customWidth="1"/>
    <col min="8975" max="8975" width="8.140625" style="438" customWidth="1"/>
    <col min="8976" max="8976" width="11.85546875" style="438" customWidth="1"/>
    <col min="8977" max="8977" width="10.140625" style="438" customWidth="1"/>
    <col min="8978" max="8978" width="3.5703125" style="438" customWidth="1"/>
    <col min="8979" max="8979" width="3.28515625" style="438" customWidth="1"/>
    <col min="8980" max="8980" width="10.140625" style="438" customWidth="1"/>
    <col min="8981" max="9215" width="9.140625" style="438"/>
    <col min="9216" max="9216" width="1.85546875" style="438" customWidth="1"/>
    <col min="9217" max="9217" width="16.5703125" style="438" bestFit="1" customWidth="1"/>
    <col min="9218" max="9218" width="9.5703125" style="438" bestFit="1" customWidth="1"/>
    <col min="9219" max="9220" width="9.140625" style="438"/>
    <col min="9221" max="9221" width="10.28515625" style="438" customWidth="1"/>
    <col min="9222" max="9222" width="9.28515625" style="438" customWidth="1"/>
    <col min="9223" max="9223" width="8.7109375" style="438" customWidth="1"/>
    <col min="9224" max="9224" width="10.28515625" style="438" customWidth="1"/>
    <col min="9225" max="9225" width="9.85546875" style="438" bestFit="1" customWidth="1"/>
    <col min="9226" max="9226" width="8.7109375" style="438" customWidth="1"/>
    <col min="9227" max="9227" width="8.5703125" style="438" customWidth="1"/>
    <col min="9228" max="9228" width="9.28515625" style="438" customWidth="1"/>
    <col min="9229" max="9230" width="8.42578125" style="438" customWidth="1"/>
    <col min="9231" max="9231" width="8.140625" style="438" customWidth="1"/>
    <col min="9232" max="9232" width="11.85546875" style="438" customWidth="1"/>
    <col min="9233" max="9233" width="10.140625" style="438" customWidth="1"/>
    <col min="9234" max="9234" width="3.5703125" style="438" customWidth="1"/>
    <col min="9235" max="9235" width="3.28515625" style="438" customWidth="1"/>
    <col min="9236" max="9236" width="10.140625" style="438" customWidth="1"/>
    <col min="9237" max="9471" width="9.140625" style="438"/>
    <col min="9472" max="9472" width="1.85546875" style="438" customWidth="1"/>
    <col min="9473" max="9473" width="16.5703125" style="438" bestFit="1" customWidth="1"/>
    <col min="9474" max="9474" width="9.5703125" style="438" bestFit="1" customWidth="1"/>
    <col min="9475" max="9476" width="9.140625" style="438"/>
    <col min="9477" max="9477" width="10.28515625" style="438" customWidth="1"/>
    <col min="9478" max="9478" width="9.28515625" style="438" customWidth="1"/>
    <col min="9479" max="9479" width="8.7109375" style="438" customWidth="1"/>
    <col min="9480" max="9480" width="10.28515625" style="438" customWidth="1"/>
    <col min="9481" max="9481" width="9.85546875" style="438" bestFit="1" customWidth="1"/>
    <col min="9482" max="9482" width="8.7109375" style="438" customWidth="1"/>
    <col min="9483" max="9483" width="8.5703125" style="438" customWidth="1"/>
    <col min="9484" max="9484" width="9.28515625" style="438" customWidth="1"/>
    <col min="9485" max="9486" width="8.42578125" style="438" customWidth="1"/>
    <col min="9487" max="9487" width="8.140625" style="438" customWidth="1"/>
    <col min="9488" max="9488" width="11.85546875" style="438" customWidth="1"/>
    <col min="9489" max="9489" width="10.140625" style="438" customWidth="1"/>
    <col min="9490" max="9490" width="3.5703125" style="438" customWidth="1"/>
    <col min="9491" max="9491" width="3.28515625" style="438" customWidth="1"/>
    <col min="9492" max="9492" width="10.140625" style="438" customWidth="1"/>
    <col min="9493" max="9727" width="9.140625" style="438"/>
    <col min="9728" max="9728" width="1.85546875" style="438" customWidth="1"/>
    <col min="9729" max="9729" width="16.5703125" style="438" bestFit="1" customWidth="1"/>
    <col min="9730" max="9730" width="9.5703125" style="438" bestFit="1" customWidth="1"/>
    <col min="9731" max="9732" width="9.140625" style="438"/>
    <col min="9733" max="9733" width="10.28515625" style="438" customWidth="1"/>
    <col min="9734" max="9734" width="9.28515625" style="438" customWidth="1"/>
    <col min="9735" max="9735" width="8.7109375" style="438" customWidth="1"/>
    <col min="9736" max="9736" width="10.28515625" style="438" customWidth="1"/>
    <col min="9737" max="9737" width="9.85546875" style="438" bestFit="1" customWidth="1"/>
    <col min="9738" max="9738" width="8.7109375" style="438" customWidth="1"/>
    <col min="9739" max="9739" width="8.5703125" style="438" customWidth="1"/>
    <col min="9740" max="9740" width="9.28515625" style="438" customWidth="1"/>
    <col min="9741" max="9742" width="8.42578125" style="438" customWidth="1"/>
    <col min="9743" max="9743" width="8.140625" style="438" customWidth="1"/>
    <col min="9744" max="9744" width="11.85546875" style="438" customWidth="1"/>
    <col min="9745" max="9745" width="10.140625" style="438" customWidth="1"/>
    <col min="9746" max="9746" width="3.5703125" style="438" customWidth="1"/>
    <col min="9747" max="9747" width="3.28515625" style="438" customWidth="1"/>
    <col min="9748" max="9748" width="10.140625" style="438" customWidth="1"/>
    <col min="9749" max="9983" width="9.140625" style="438"/>
    <col min="9984" max="9984" width="1.85546875" style="438" customWidth="1"/>
    <col min="9985" max="9985" width="16.5703125" style="438" bestFit="1" customWidth="1"/>
    <col min="9986" max="9986" width="9.5703125" style="438" bestFit="1" customWidth="1"/>
    <col min="9987" max="9988" width="9.140625" style="438"/>
    <col min="9989" max="9989" width="10.28515625" style="438" customWidth="1"/>
    <col min="9990" max="9990" width="9.28515625" style="438" customWidth="1"/>
    <col min="9991" max="9991" width="8.7109375" style="438" customWidth="1"/>
    <col min="9992" max="9992" width="10.28515625" style="438" customWidth="1"/>
    <col min="9993" max="9993" width="9.85546875" style="438" bestFit="1" customWidth="1"/>
    <col min="9994" max="9994" width="8.7109375" style="438" customWidth="1"/>
    <col min="9995" max="9995" width="8.5703125" style="438" customWidth="1"/>
    <col min="9996" max="9996" width="9.28515625" style="438" customWidth="1"/>
    <col min="9997" max="9998" width="8.42578125" style="438" customWidth="1"/>
    <col min="9999" max="9999" width="8.140625" style="438" customWidth="1"/>
    <col min="10000" max="10000" width="11.85546875" style="438" customWidth="1"/>
    <col min="10001" max="10001" width="10.140625" style="438" customWidth="1"/>
    <col min="10002" max="10002" width="3.5703125" style="438" customWidth="1"/>
    <col min="10003" max="10003" width="3.28515625" style="438" customWidth="1"/>
    <col min="10004" max="10004" width="10.140625" style="438" customWidth="1"/>
    <col min="10005" max="10239" width="9.140625" style="438"/>
    <col min="10240" max="10240" width="1.85546875" style="438" customWidth="1"/>
    <col min="10241" max="10241" width="16.5703125" style="438" bestFit="1" customWidth="1"/>
    <col min="10242" max="10242" width="9.5703125" style="438" bestFit="1" customWidth="1"/>
    <col min="10243" max="10244" width="9.140625" style="438"/>
    <col min="10245" max="10245" width="10.28515625" style="438" customWidth="1"/>
    <col min="10246" max="10246" width="9.28515625" style="438" customWidth="1"/>
    <col min="10247" max="10247" width="8.7109375" style="438" customWidth="1"/>
    <col min="10248" max="10248" width="10.28515625" style="438" customWidth="1"/>
    <col min="10249" max="10249" width="9.85546875" style="438" bestFit="1" customWidth="1"/>
    <col min="10250" max="10250" width="8.7109375" style="438" customWidth="1"/>
    <col min="10251" max="10251" width="8.5703125" style="438" customWidth="1"/>
    <col min="10252" max="10252" width="9.28515625" style="438" customWidth="1"/>
    <col min="10253" max="10254" width="8.42578125" style="438" customWidth="1"/>
    <col min="10255" max="10255" width="8.140625" style="438" customWidth="1"/>
    <col min="10256" max="10256" width="11.85546875" style="438" customWidth="1"/>
    <col min="10257" max="10257" width="10.140625" style="438" customWidth="1"/>
    <col min="10258" max="10258" width="3.5703125" style="438" customWidth="1"/>
    <col min="10259" max="10259" width="3.28515625" style="438" customWidth="1"/>
    <col min="10260" max="10260" width="10.140625" style="438" customWidth="1"/>
    <col min="10261" max="10495" width="9.140625" style="438"/>
    <col min="10496" max="10496" width="1.85546875" style="438" customWidth="1"/>
    <col min="10497" max="10497" width="16.5703125" style="438" bestFit="1" customWidth="1"/>
    <col min="10498" max="10498" width="9.5703125" style="438" bestFit="1" customWidth="1"/>
    <col min="10499" max="10500" width="9.140625" style="438"/>
    <col min="10501" max="10501" width="10.28515625" style="438" customWidth="1"/>
    <col min="10502" max="10502" width="9.28515625" style="438" customWidth="1"/>
    <col min="10503" max="10503" width="8.7109375" style="438" customWidth="1"/>
    <col min="10504" max="10504" width="10.28515625" style="438" customWidth="1"/>
    <col min="10505" max="10505" width="9.85546875" style="438" bestFit="1" customWidth="1"/>
    <col min="10506" max="10506" width="8.7109375" style="438" customWidth="1"/>
    <col min="10507" max="10507" width="8.5703125" style="438" customWidth="1"/>
    <col min="10508" max="10508" width="9.28515625" style="438" customWidth="1"/>
    <col min="10509" max="10510" width="8.42578125" style="438" customWidth="1"/>
    <col min="10511" max="10511" width="8.140625" style="438" customWidth="1"/>
    <col min="10512" max="10512" width="11.85546875" style="438" customWidth="1"/>
    <col min="10513" max="10513" width="10.140625" style="438" customWidth="1"/>
    <col min="10514" max="10514" width="3.5703125" style="438" customWidth="1"/>
    <col min="10515" max="10515" width="3.28515625" style="438" customWidth="1"/>
    <col min="10516" max="10516" width="10.140625" style="438" customWidth="1"/>
    <col min="10517" max="10751" width="9.140625" style="438"/>
    <col min="10752" max="10752" width="1.85546875" style="438" customWidth="1"/>
    <col min="10753" max="10753" width="16.5703125" style="438" bestFit="1" customWidth="1"/>
    <col min="10754" max="10754" width="9.5703125" style="438" bestFit="1" customWidth="1"/>
    <col min="10755" max="10756" width="9.140625" style="438"/>
    <col min="10757" max="10757" width="10.28515625" style="438" customWidth="1"/>
    <col min="10758" max="10758" width="9.28515625" style="438" customWidth="1"/>
    <col min="10759" max="10759" width="8.7109375" style="438" customWidth="1"/>
    <col min="10760" max="10760" width="10.28515625" style="438" customWidth="1"/>
    <col min="10761" max="10761" width="9.85546875" style="438" bestFit="1" customWidth="1"/>
    <col min="10762" max="10762" width="8.7109375" style="438" customWidth="1"/>
    <col min="10763" max="10763" width="8.5703125" style="438" customWidth="1"/>
    <col min="10764" max="10764" width="9.28515625" style="438" customWidth="1"/>
    <col min="10765" max="10766" width="8.42578125" style="438" customWidth="1"/>
    <col min="10767" max="10767" width="8.140625" style="438" customWidth="1"/>
    <col min="10768" max="10768" width="11.85546875" style="438" customWidth="1"/>
    <col min="10769" max="10769" width="10.140625" style="438" customWidth="1"/>
    <col min="10770" max="10770" width="3.5703125" style="438" customWidth="1"/>
    <col min="10771" max="10771" width="3.28515625" style="438" customWidth="1"/>
    <col min="10772" max="10772" width="10.140625" style="438" customWidth="1"/>
    <col min="10773" max="11007" width="9.140625" style="438"/>
    <col min="11008" max="11008" width="1.85546875" style="438" customWidth="1"/>
    <col min="11009" max="11009" width="16.5703125" style="438" bestFit="1" customWidth="1"/>
    <col min="11010" max="11010" width="9.5703125" style="438" bestFit="1" customWidth="1"/>
    <col min="11011" max="11012" width="9.140625" style="438"/>
    <col min="11013" max="11013" width="10.28515625" style="438" customWidth="1"/>
    <col min="11014" max="11014" width="9.28515625" style="438" customWidth="1"/>
    <col min="11015" max="11015" width="8.7109375" style="438" customWidth="1"/>
    <col min="11016" max="11016" width="10.28515625" style="438" customWidth="1"/>
    <col min="11017" max="11017" width="9.85546875" style="438" bestFit="1" customWidth="1"/>
    <col min="11018" max="11018" width="8.7109375" style="438" customWidth="1"/>
    <col min="11019" max="11019" width="8.5703125" style="438" customWidth="1"/>
    <col min="11020" max="11020" width="9.28515625" style="438" customWidth="1"/>
    <col min="11021" max="11022" width="8.42578125" style="438" customWidth="1"/>
    <col min="11023" max="11023" width="8.140625" style="438" customWidth="1"/>
    <col min="11024" max="11024" width="11.85546875" style="438" customWidth="1"/>
    <col min="11025" max="11025" width="10.140625" style="438" customWidth="1"/>
    <col min="11026" max="11026" width="3.5703125" style="438" customWidth="1"/>
    <col min="11027" max="11027" width="3.28515625" style="438" customWidth="1"/>
    <col min="11028" max="11028" width="10.140625" style="438" customWidth="1"/>
    <col min="11029" max="11263" width="9.140625" style="438"/>
    <col min="11264" max="11264" width="1.85546875" style="438" customWidth="1"/>
    <col min="11265" max="11265" width="16.5703125" style="438" bestFit="1" customWidth="1"/>
    <col min="11266" max="11266" width="9.5703125" style="438" bestFit="1" customWidth="1"/>
    <col min="11267" max="11268" width="9.140625" style="438"/>
    <col min="11269" max="11269" width="10.28515625" style="438" customWidth="1"/>
    <col min="11270" max="11270" width="9.28515625" style="438" customWidth="1"/>
    <col min="11271" max="11271" width="8.7109375" style="438" customWidth="1"/>
    <col min="11272" max="11272" width="10.28515625" style="438" customWidth="1"/>
    <col min="11273" max="11273" width="9.85546875" style="438" bestFit="1" customWidth="1"/>
    <col min="11274" max="11274" width="8.7109375" style="438" customWidth="1"/>
    <col min="11275" max="11275" width="8.5703125" style="438" customWidth="1"/>
    <col min="11276" max="11276" width="9.28515625" style="438" customWidth="1"/>
    <col min="11277" max="11278" width="8.42578125" style="438" customWidth="1"/>
    <col min="11279" max="11279" width="8.140625" style="438" customWidth="1"/>
    <col min="11280" max="11280" width="11.85546875" style="438" customWidth="1"/>
    <col min="11281" max="11281" width="10.140625" style="438" customWidth="1"/>
    <col min="11282" max="11282" width="3.5703125" style="438" customWidth="1"/>
    <col min="11283" max="11283" width="3.28515625" style="438" customWidth="1"/>
    <col min="11284" max="11284" width="10.140625" style="438" customWidth="1"/>
    <col min="11285" max="11519" width="9.140625" style="438"/>
    <col min="11520" max="11520" width="1.85546875" style="438" customWidth="1"/>
    <col min="11521" max="11521" width="16.5703125" style="438" bestFit="1" customWidth="1"/>
    <col min="11522" max="11522" width="9.5703125" style="438" bestFit="1" customWidth="1"/>
    <col min="11523" max="11524" width="9.140625" style="438"/>
    <col min="11525" max="11525" width="10.28515625" style="438" customWidth="1"/>
    <col min="11526" max="11526" width="9.28515625" style="438" customWidth="1"/>
    <col min="11527" max="11527" width="8.7109375" style="438" customWidth="1"/>
    <col min="11528" max="11528" width="10.28515625" style="438" customWidth="1"/>
    <col min="11529" max="11529" width="9.85546875" style="438" bestFit="1" customWidth="1"/>
    <col min="11530" max="11530" width="8.7109375" style="438" customWidth="1"/>
    <col min="11531" max="11531" width="8.5703125" style="438" customWidth="1"/>
    <col min="11532" max="11532" width="9.28515625" style="438" customWidth="1"/>
    <col min="11533" max="11534" width="8.42578125" style="438" customWidth="1"/>
    <col min="11535" max="11535" width="8.140625" style="438" customWidth="1"/>
    <col min="11536" max="11536" width="11.85546875" style="438" customWidth="1"/>
    <col min="11537" max="11537" width="10.140625" style="438" customWidth="1"/>
    <col min="11538" max="11538" width="3.5703125" style="438" customWidth="1"/>
    <col min="11539" max="11539" width="3.28515625" style="438" customWidth="1"/>
    <col min="11540" max="11540" width="10.140625" style="438" customWidth="1"/>
    <col min="11541" max="11775" width="9.140625" style="438"/>
    <col min="11776" max="11776" width="1.85546875" style="438" customWidth="1"/>
    <col min="11777" max="11777" width="16.5703125" style="438" bestFit="1" customWidth="1"/>
    <col min="11778" max="11778" width="9.5703125" style="438" bestFit="1" customWidth="1"/>
    <col min="11779" max="11780" width="9.140625" style="438"/>
    <col min="11781" max="11781" width="10.28515625" style="438" customWidth="1"/>
    <col min="11782" max="11782" width="9.28515625" style="438" customWidth="1"/>
    <col min="11783" max="11783" width="8.7109375" style="438" customWidth="1"/>
    <col min="11784" max="11784" width="10.28515625" style="438" customWidth="1"/>
    <col min="11785" max="11785" width="9.85546875" style="438" bestFit="1" customWidth="1"/>
    <col min="11786" max="11786" width="8.7109375" style="438" customWidth="1"/>
    <col min="11787" max="11787" width="8.5703125" style="438" customWidth="1"/>
    <col min="11788" max="11788" width="9.28515625" style="438" customWidth="1"/>
    <col min="11789" max="11790" width="8.42578125" style="438" customWidth="1"/>
    <col min="11791" max="11791" width="8.140625" style="438" customWidth="1"/>
    <col min="11792" max="11792" width="11.85546875" style="438" customWidth="1"/>
    <col min="11793" max="11793" width="10.140625" style="438" customWidth="1"/>
    <col min="11794" max="11794" width="3.5703125" style="438" customWidth="1"/>
    <col min="11795" max="11795" width="3.28515625" style="438" customWidth="1"/>
    <col min="11796" max="11796" width="10.140625" style="438" customWidth="1"/>
    <col min="11797" max="12031" width="9.140625" style="438"/>
    <col min="12032" max="12032" width="1.85546875" style="438" customWidth="1"/>
    <col min="12033" max="12033" width="16.5703125" style="438" bestFit="1" customWidth="1"/>
    <col min="12034" max="12034" width="9.5703125" style="438" bestFit="1" customWidth="1"/>
    <col min="12035" max="12036" width="9.140625" style="438"/>
    <col min="12037" max="12037" width="10.28515625" style="438" customWidth="1"/>
    <col min="12038" max="12038" width="9.28515625" style="438" customWidth="1"/>
    <col min="12039" max="12039" width="8.7109375" style="438" customWidth="1"/>
    <col min="12040" max="12040" width="10.28515625" style="438" customWidth="1"/>
    <col min="12041" max="12041" width="9.85546875" style="438" bestFit="1" customWidth="1"/>
    <col min="12042" max="12042" width="8.7109375" style="438" customWidth="1"/>
    <col min="12043" max="12043" width="8.5703125" style="438" customWidth="1"/>
    <col min="12044" max="12044" width="9.28515625" style="438" customWidth="1"/>
    <col min="12045" max="12046" width="8.42578125" style="438" customWidth="1"/>
    <col min="12047" max="12047" width="8.140625" style="438" customWidth="1"/>
    <col min="12048" max="12048" width="11.85546875" style="438" customWidth="1"/>
    <col min="12049" max="12049" width="10.140625" style="438" customWidth="1"/>
    <col min="12050" max="12050" width="3.5703125" style="438" customWidth="1"/>
    <col min="12051" max="12051" width="3.28515625" style="438" customWidth="1"/>
    <col min="12052" max="12052" width="10.140625" style="438" customWidth="1"/>
    <col min="12053" max="12287" width="9.140625" style="438"/>
    <col min="12288" max="12288" width="1.85546875" style="438" customWidth="1"/>
    <col min="12289" max="12289" width="16.5703125" style="438" bestFit="1" customWidth="1"/>
    <col min="12290" max="12290" width="9.5703125" style="438" bestFit="1" customWidth="1"/>
    <col min="12291" max="12292" width="9.140625" style="438"/>
    <col min="12293" max="12293" width="10.28515625" style="438" customWidth="1"/>
    <col min="12294" max="12294" width="9.28515625" style="438" customWidth="1"/>
    <col min="12295" max="12295" width="8.7109375" style="438" customWidth="1"/>
    <col min="12296" max="12296" width="10.28515625" style="438" customWidth="1"/>
    <col min="12297" max="12297" width="9.85546875" style="438" bestFit="1" customWidth="1"/>
    <col min="12298" max="12298" width="8.7109375" style="438" customWidth="1"/>
    <col min="12299" max="12299" width="8.5703125" style="438" customWidth="1"/>
    <col min="12300" max="12300" width="9.28515625" style="438" customWidth="1"/>
    <col min="12301" max="12302" width="8.42578125" style="438" customWidth="1"/>
    <col min="12303" max="12303" width="8.140625" style="438" customWidth="1"/>
    <col min="12304" max="12304" width="11.85546875" style="438" customWidth="1"/>
    <col min="12305" max="12305" width="10.140625" style="438" customWidth="1"/>
    <col min="12306" max="12306" width="3.5703125" style="438" customWidth="1"/>
    <col min="12307" max="12307" width="3.28515625" style="438" customWidth="1"/>
    <col min="12308" max="12308" width="10.140625" style="438" customWidth="1"/>
    <col min="12309" max="12543" width="9.140625" style="438"/>
    <col min="12544" max="12544" width="1.85546875" style="438" customWidth="1"/>
    <col min="12545" max="12545" width="16.5703125" style="438" bestFit="1" customWidth="1"/>
    <col min="12546" max="12546" width="9.5703125" style="438" bestFit="1" customWidth="1"/>
    <col min="12547" max="12548" width="9.140625" style="438"/>
    <col min="12549" max="12549" width="10.28515625" style="438" customWidth="1"/>
    <col min="12550" max="12550" width="9.28515625" style="438" customWidth="1"/>
    <col min="12551" max="12551" width="8.7109375" style="438" customWidth="1"/>
    <col min="12552" max="12552" width="10.28515625" style="438" customWidth="1"/>
    <col min="12553" max="12553" width="9.85546875" style="438" bestFit="1" customWidth="1"/>
    <col min="12554" max="12554" width="8.7109375" style="438" customWidth="1"/>
    <col min="12555" max="12555" width="8.5703125" style="438" customWidth="1"/>
    <col min="12556" max="12556" width="9.28515625" style="438" customWidth="1"/>
    <col min="12557" max="12558" width="8.42578125" style="438" customWidth="1"/>
    <col min="12559" max="12559" width="8.140625" style="438" customWidth="1"/>
    <col min="12560" max="12560" width="11.85546875" style="438" customWidth="1"/>
    <col min="12561" max="12561" width="10.140625" style="438" customWidth="1"/>
    <col min="12562" max="12562" width="3.5703125" style="438" customWidth="1"/>
    <col min="12563" max="12563" width="3.28515625" style="438" customWidth="1"/>
    <col min="12564" max="12564" width="10.140625" style="438" customWidth="1"/>
    <col min="12565" max="12799" width="9.140625" style="438"/>
    <col min="12800" max="12800" width="1.85546875" style="438" customWidth="1"/>
    <col min="12801" max="12801" width="16.5703125" style="438" bestFit="1" customWidth="1"/>
    <col min="12802" max="12802" width="9.5703125" style="438" bestFit="1" customWidth="1"/>
    <col min="12803" max="12804" width="9.140625" style="438"/>
    <col min="12805" max="12805" width="10.28515625" style="438" customWidth="1"/>
    <col min="12806" max="12806" width="9.28515625" style="438" customWidth="1"/>
    <col min="12807" max="12807" width="8.7109375" style="438" customWidth="1"/>
    <col min="12808" max="12808" width="10.28515625" style="438" customWidth="1"/>
    <col min="12809" max="12809" width="9.85546875" style="438" bestFit="1" customWidth="1"/>
    <col min="12810" max="12810" width="8.7109375" style="438" customWidth="1"/>
    <col min="12811" max="12811" width="8.5703125" style="438" customWidth="1"/>
    <col min="12812" max="12812" width="9.28515625" style="438" customWidth="1"/>
    <col min="12813" max="12814" width="8.42578125" style="438" customWidth="1"/>
    <col min="12815" max="12815" width="8.140625" style="438" customWidth="1"/>
    <col min="12816" max="12816" width="11.85546875" style="438" customWidth="1"/>
    <col min="12817" max="12817" width="10.140625" style="438" customWidth="1"/>
    <col min="12818" max="12818" width="3.5703125" style="438" customWidth="1"/>
    <col min="12819" max="12819" width="3.28515625" style="438" customWidth="1"/>
    <col min="12820" max="12820" width="10.140625" style="438" customWidth="1"/>
    <col min="12821" max="13055" width="9.140625" style="438"/>
    <col min="13056" max="13056" width="1.85546875" style="438" customWidth="1"/>
    <col min="13057" max="13057" width="16.5703125" style="438" bestFit="1" customWidth="1"/>
    <col min="13058" max="13058" width="9.5703125" style="438" bestFit="1" customWidth="1"/>
    <col min="13059" max="13060" width="9.140625" style="438"/>
    <col min="13061" max="13061" width="10.28515625" style="438" customWidth="1"/>
    <col min="13062" max="13062" width="9.28515625" style="438" customWidth="1"/>
    <col min="13063" max="13063" width="8.7109375" style="438" customWidth="1"/>
    <col min="13064" max="13064" width="10.28515625" style="438" customWidth="1"/>
    <col min="13065" max="13065" width="9.85546875" style="438" bestFit="1" customWidth="1"/>
    <col min="13066" max="13066" width="8.7109375" style="438" customWidth="1"/>
    <col min="13067" max="13067" width="8.5703125" style="438" customWidth="1"/>
    <col min="13068" max="13068" width="9.28515625" style="438" customWidth="1"/>
    <col min="13069" max="13070" width="8.42578125" style="438" customWidth="1"/>
    <col min="13071" max="13071" width="8.140625" style="438" customWidth="1"/>
    <col min="13072" max="13072" width="11.85546875" style="438" customWidth="1"/>
    <col min="13073" max="13073" width="10.140625" style="438" customWidth="1"/>
    <col min="13074" max="13074" width="3.5703125" style="438" customWidth="1"/>
    <col min="13075" max="13075" width="3.28515625" style="438" customWidth="1"/>
    <col min="13076" max="13076" width="10.140625" style="438" customWidth="1"/>
    <col min="13077" max="13311" width="9.140625" style="438"/>
    <col min="13312" max="13312" width="1.85546875" style="438" customWidth="1"/>
    <col min="13313" max="13313" width="16.5703125" style="438" bestFit="1" customWidth="1"/>
    <col min="13314" max="13314" width="9.5703125" style="438" bestFit="1" customWidth="1"/>
    <col min="13315" max="13316" width="9.140625" style="438"/>
    <col min="13317" max="13317" width="10.28515625" style="438" customWidth="1"/>
    <col min="13318" max="13318" width="9.28515625" style="438" customWidth="1"/>
    <col min="13319" max="13319" width="8.7109375" style="438" customWidth="1"/>
    <col min="13320" max="13320" width="10.28515625" style="438" customWidth="1"/>
    <col min="13321" max="13321" width="9.85546875" style="438" bestFit="1" customWidth="1"/>
    <col min="13322" max="13322" width="8.7109375" style="438" customWidth="1"/>
    <col min="13323" max="13323" width="8.5703125" style="438" customWidth="1"/>
    <col min="13324" max="13324" width="9.28515625" style="438" customWidth="1"/>
    <col min="13325" max="13326" width="8.42578125" style="438" customWidth="1"/>
    <col min="13327" max="13327" width="8.140625" style="438" customWidth="1"/>
    <col min="13328" max="13328" width="11.85546875" style="438" customWidth="1"/>
    <col min="13329" max="13329" width="10.140625" style="438" customWidth="1"/>
    <col min="13330" max="13330" width="3.5703125" style="438" customWidth="1"/>
    <col min="13331" max="13331" width="3.28515625" style="438" customWidth="1"/>
    <col min="13332" max="13332" width="10.140625" style="438" customWidth="1"/>
    <col min="13333" max="13567" width="9.140625" style="438"/>
    <col min="13568" max="13568" width="1.85546875" style="438" customWidth="1"/>
    <col min="13569" max="13569" width="16.5703125" style="438" bestFit="1" customWidth="1"/>
    <col min="13570" max="13570" width="9.5703125" style="438" bestFit="1" customWidth="1"/>
    <col min="13571" max="13572" width="9.140625" style="438"/>
    <col min="13573" max="13573" width="10.28515625" style="438" customWidth="1"/>
    <col min="13574" max="13574" width="9.28515625" style="438" customWidth="1"/>
    <col min="13575" max="13575" width="8.7109375" style="438" customWidth="1"/>
    <col min="13576" max="13576" width="10.28515625" style="438" customWidth="1"/>
    <col min="13577" max="13577" width="9.85546875" style="438" bestFit="1" customWidth="1"/>
    <col min="13578" max="13578" width="8.7109375" style="438" customWidth="1"/>
    <col min="13579" max="13579" width="8.5703125" style="438" customWidth="1"/>
    <col min="13580" max="13580" width="9.28515625" style="438" customWidth="1"/>
    <col min="13581" max="13582" width="8.42578125" style="438" customWidth="1"/>
    <col min="13583" max="13583" width="8.140625" style="438" customWidth="1"/>
    <col min="13584" max="13584" width="11.85546875" style="438" customWidth="1"/>
    <col min="13585" max="13585" width="10.140625" style="438" customWidth="1"/>
    <col min="13586" max="13586" width="3.5703125" style="438" customWidth="1"/>
    <col min="13587" max="13587" width="3.28515625" style="438" customWidth="1"/>
    <col min="13588" max="13588" width="10.140625" style="438" customWidth="1"/>
    <col min="13589" max="13823" width="9.140625" style="438"/>
    <col min="13824" max="13824" width="1.85546875" style="438" customWidth="1"/>
    <col min="13825" max="13825" width="16.5703125" style="438" bestFit="1" customWidth="1"/>
    <col min="13826" max="13826" width="9.5703125" style="438" bestFit="1" customWidth="1"/>
    <col min="13827" max="13828" width="9.140625" style="438"/>
    <col min="13829" max="13829" width="10.28515625" style="438" customWidth="1"/>
    <col min="13830" max="13830" width="9.28515625" style="438" customWidth="1"/>
    <col min="13831" max="13831" width="8.7109375" style="438" customWidth="1"/>
    <col min="13832" max="13832" width="10.28515625" style="438" customWidth="1"/>
    <col min="13833" max="13833" width="9.85546875" style="438" bestFit="1" customWidth="1"/>
    <col min="13834" max="13834" width="8.7109375" style="438" customWidth="1"/>
    <col min="13835" max="13835" width="8.5703125" style="438" customWidth="1"/>
    <col min="13836" max="13836" width="9.28515625" style="438" customWidth="1"/>
    <col min="13837" max="13838" width="8.42578125" style="438" customWidth="1"/>
    <col min="13839" max="13839" width="8.140625" style="438" customWidth="1"/>
    <col min="13840" max="13840" width="11.85546875" style="438" customWidth="1"/>
    <col min="13841" max="13841" width="10.140625" style="438" customWidth="1"/>
    <col min="13842" max="13842" width="3.5703125" style="438" customWidth="1"/>
    <col min="13843" max="13843" width="3.28515625" style="438" customWidth="1"/>
    <col min="13844" max="13844" width="10.140625" style="438" customWidth="1"/>
    <col min="13845" max="14079" width="9.140625" style="438"/>
    <col min="14080" max="14080" width="1.85546875" style="438" customWidth="1"/>
    <col min="14081" max="14081" width="16.5703125" style="438" bestFit="1" customWidth="1"/>
    <col min="14082" max="14082" width="9.5703125" style="438" bestFit="1" customWidth="1"/>
    <col min="14083" max="14084" width="9.140625" style="438"/>
    <col min="14085" max="14085" width="10.28515625" style="438" customWidth="1"/>
    <col min="14086" max="14086" width="9.28515625" style="438" customWidth="1"/>
    <col min="14087" max="14087" width="8.7109375" style="438" customWidth="1"/>
    <col min="14088" max="14088" width="10.28515625" style="438" customWidth="1"/>
    <col min="14089" max="14089" width="9.85546875" style="438" bestFit="1" customWidth="1"/>
    <col min="14090" max="14090" width="8.7109375" style="438" customWidth="1"/>
    <col min="14091" max="14091" width="8.5703125" style="438" customWidth="1"/>
    <col min="14092" max="14092" width="9.28515625" style="438" customWidth="1"/>
    <col min="14093" max="14094" width="8.42578125" style="438" customWidth="1"/>
    <col min="14095" max="14095" width="8.140625" style="438" customWidth="1"/>
    <col min="14096" max="14096" width="11.85546875" style="438" customWidth="1"/>
    <col min="14097" max="14097" width="10.140625" style="438" customWidth="1"/>
    <col min="14098" max="14098" width="3.5703125" style="438" customWidth="1"/>
    <col min="14099" max="14099" width="3.28515625" style="438" customWidth="1"/>
    <col min="14100" max="14100" width="10.140625" style="438" customWidth="1"/>
    <col min="14101" max="14335" width="9.140625" style="438"/>
    <col min="14336" max="14336" width="1.85546875" style="438" customWidth="1"/>
    <col min="14337" max="14337" width="16.5703125" style="438" bestFit="1" customWidth="1"/>
    <col min="14338" max="14338" width="9.5703125" style="438" bestFit="1" customWidth="1"/>
    <col min="14339" max="14340" width="9.140625" style="438"/>
    <col min="14341" max="14341" width="10.28515625" style="438" customWidth="1"/>
    <col min="14342" max="14342" width="9.28515625" style="438" customWidth="1"/>
    <col min="14343" max="14343" width="8.7109375" style="438" customWidth="1"/>
    <col min="14344" max="14344" width="10.28515625" style="438" customWidth="1"/>
    <col min="14345" max="14345" width="9.85546875" style="438" bestFit="1" customWidth="1"/>
    <col min="14346" max="14346" width="8.7109375" style="438" customWidth="1"/>
    <col min="14347" max="14347" width="8.5703125" style="438" customWidth="1"/>
    <col min="14348" max="14348" width="9.28515625" style="438" customWidth="1"/>
    <col min="14349" max="14350" width="8.42578125" style="438" customWidth="1"/>
    <col min="14351" max="14351" width="8.140625" style="438" customWidth="1"/>
    <col min="14352" max="14352" width="11.85546875" style="438" customWidth="1"/>
    <col min="14353" max="14353" width="10.140625" style="438" customWidth="1"/>
    <col min="14354" max="14354" width="3.5703125" style="438" customWidth="1"/>
    <col min="14355" max="14355" width="3.28515625" style="438" customWidth="1"/>
    <col min="14356" max="14356" width="10.140625" style="438" customWidth="1"/>
    <col min="14357" max="14591" width="9.140625" style="438"/>
    <col min="14592" max="14592" width="1.85546875" style="438" customWidth="1"/>
    <col min="14593" max="14593" width="16.5703125" style="438" bestFit="1" customWidth="1"/>
    <col min="14594" max="14594" width="9.5703125" style="438" bestFit="1" customWidth="1"/>
    <col min="14595" max="14596" width="9.140625" style="438"/>
    <col min="14597" max="14597" width="10.28515625" style="438" customWidth="1"/>
    <col min="14598" max="14598" width="9.28515625" style="438" customWidth="1"/>
    <col min="14599" max="14599" width="8.7109375" style="438" customWidth="1"/>
    <col min="14600" max="14600" width="10.28515625" style="438" customWidth="1"/>
    <col min="14601" max="14601" width="9.85546875" style="438" bestFit="1" customWidth="1"/>
    <col min="14602" max="14602" width="8.7109375" style="438" customWidth="1"/>
    <col min="14603" max="14603" width="8.5703125" style="438" customWidth="1"/>
    <col min="14604" max="14604" width="9.28515625" style="438" customWidth="1"/>
    <col min="14605" max="14606" width="8.42578125" style="438" customWidth="1"/>
    <col min="14607" max="14607" width="8.140625" style="438" customWidth="1"/>
    <col min="14608" max="14608" width="11.85546875" style="438" customWidth="1"/>
    <col min="14609" max="14609" width="10.140625" style="438" customWidth="1"/>
    <col min="14610" max="14610" width="3.5703125" style="438" customWidth="1"/>
    <col min="14611" max="14611" width="3.28515625" style="438" customWidth="1"/>
    <col min="14612" max="14612" width="10.140625" style="438" customWidth="1"/>
    <col min="14613" max="14847" width="9.140625" style="438"/>
    <col min="14848" max="14848" width="1.85546875" style="438" customWidth="1"/>
    <col min="14849" max="14849" width="16.5703125" style="438" bestFit="1" customWidth="1"/>
    <col min="14850" max="14850" width="9.5703125" style="438" bestFit="1" customWidth="1"/>
    <col min="14851" max="14852" width="9.140625" style="438"/>
    <col min="14853" max="14853" width="10.28515625" style="438" customWidth="1"/>
    <col min="14854" max="14854" width="9.28515625" style="438" customWidth="1"/>
    <col min="14855" max="14855" width="8.7109375" style="438" customWidth="1"/>
    <col min="14856" max="14856" width="10.28515625" style="438" customWidth="1"/>
    <col min="14857" max="14857" width="9.85546875" style="438" bestFit="1" customWidth="1"/>
    <col min="14858" max="14858" width="8.7109375" style="438" customWidth="1"/>
    <col min="14859" max="14859" width="8.5703125" style="438" customWidth="1"/>
    <col min="14860" max="14860" width="9.28515625" style="438" customWidth="1"/>
    <col min="14861" max="14862" width="8.42578125" style="438" customWidth="1"/>
    <col min="14863" max="14863" width="8.140625" style="438" customWidth="1"/>
    <col min="14864" max="14864" width="11.85546875" style="438" customWidth="1"/>
    <col min="14865" max="14865" width="10.140625" style="438" customWidth="1"/>
    <col min="14866" max="14866" width="3.5703125" style="438" customWidth="1"/>
    <col min="14867" max="14867" width="3.28515625" style="438" customWidth="1"/>
    <col min="14868" max="14868" width="10.140625" style="438" customWidth="1"/>
    <col min="14869" max="15103" width="9.140625" style="438"/>
    <col min="15104" max="15104" width="1.85546875" style="438" customWidth="1"/>
    <col min="15105" max="15105" width="16.5703125" style="438" bestFit="1" customWidth="1"/>
    <col min="15106" max="15106" width="9.5703125" style="438" bestFit="1" customWidth="1"/>
    <col min="15107" max="15108" width="9.140625" style="438"/>
    <col min="15109" max="15109" width="10.28515625" style="438" customWidth="1"/>
    <col min="15110" max="15110" width="9.28515625" style="438" customWidth="1"/>
    <col min="15111" max="15111" width="8.7109375" style="438" customWidth="1"/>
    <col min="15112" max="15112" width="10.28515625" style="438" customWidth="1"/>
    <col min="15113" max="15113" width="9.85546875" style="438" bestFit="1" customWidth="1"/>
    <col min="15114" max="15114" width="8.7109375" style="438" customWidth="1"/>
    <col min="15115" max="15115" width="8.5703125" style="438" customWidth="1"/>
    <col min="15116" max="15116" width="9.28515625" style="438" customWidth="1"/>
    <col min="15117" max="15118" width="8.42578125" style="438" customWidth="1"/>
    <col min="15119" max="15119" width="8.140625" style="438" customWidth="1"/>
    <col min="15120" max="15120" width="11.85546875" style="438" customWidth="1"/>
    <col min="15121" max="15121" width="10.140625" style="438" customWidth="1"/>
    <col min="15122" max="15122" width="3.5703125" style="438" customWidth="1"/>
    <col min="15123" max="15123" width="3.28515625" style="438" customWidth="1"/>
    <col min="15124" max="15124" width="10.140625" style="438" customWidth="1"/>
    <col min="15125" max="15359" width="9.140625" style="438"/>
    <col min="15360" max="15360" width="1.85546875" style="438" customWidth="1"/>
    <col min="15361" max="15361" width="16.5703125" style="438" bestFit="1" customWidth="1"/>
    <col min="15362" max="15362" width="9.5703125" style="438" bestFit="1" customWidth="1"/>
    <col min="15363" max="15364" width="9.140625" style="438"/>
    <col min="15365" max="15365" width="10.28515625" style="438" customWidth="1"/>
    <col min="15366" max="15366" width="9.28515625" style="438" customWidth="1"/>
    <col min="15367" max="15367" width="8.7109375" style="438" customWidth="1"/>
    <col min="15368" max="15368" width="10.28515625" style="438" customWidth="1"/>
    <col min="15369" max="15369" width="9.85546875" style="438" bestFit="1" customWidth="1"/>
    <col min="15370" max="15370" width="8.7109375" style="438" customWidth="1"/>
    <col min="15371" max="15371" width="8.5703125" style="438" customWidth="1"/>
    <col min="15372" max="15372" width="9.28515625" style="438" customWidth="1"/>
    <col min="15373" max="15374" width="8.42578125" style="438" customWidth="1"/>
    <col min="15375" max="15375" width="8.140625" style="438" customWidth="1"/>
    <col min="15376" max="15376" width="11.85546875" style="438" customWidth="1"/>
    <col min="15377" max="15377" width="10.140625" style="438" customWidth="1"/>
    <col min="15378" max="15378" width="3.5703125" style="438" customWidth="1"/>
    <col min="15379" max="15379" width="3.28515625" style="438" customWidth="1"/>
    <col min="15380" max="15380" width="10.140625" style="438" customWidth="1"/>
    <col min="15381" max="15615" width="9.140625" style="438"/>
    <col min="15616" max="15616" width="1.85546875" style="438" customWidth="1"/>
    <col min="15617" max="15617" width="16.5703125" style="438" bestFit="1" customWidth="1"/>
    <col min="15618" max="15618" width="9.5703125" style="438" bestFit="1" customWidth="1"/>
    <col min="15619" max="15620" width="9.140625" style="438"/>
    <col min="15621" max="15621" width="10.28515625" style="438" customWidth="1"/>
    <col min="15622" max="15622" width="9.28515625" style="438" customWidth="1"/>
    <col min="15623" max="15623" width="8.7109375" style="438" customWidth="1"/>
    <col min="15624" max="15624" width="10.28515625" style="438" customWidth="1"/>
    <col min="15625" max="15625" width="9.85546875" style="438" bestFit="1" customWidth="1"/>
    <col min="15626" max="15626" width="8.7109375" style="438" customWidth="1"/>
    <col min="15627" max="15627" width="8.5703125" style="438" customWidth="1"/>
    <col min="15628" max="15628" width="9.28515625" style="438" customWidth="1"/>
    <col min="15629" max="15630" width="8.42578125" style="438" customWidth="1"/>
    <col min="15631" max="15631" width="8.140625" style="438" customWidth="1"/>
    <col min="15632" max="15632" width="11.85546875" style="438" customWidth="1"/>
    <col min="15633" max="15633" width="10.140625" style="438" customWidth="1"/>
    <col min="15634" max="15634" width="3.5703125" style="438" customWidth="1"/>
    <col min="15635" max="15635" width="3.28515625" style="438" customWidth="1"/>
    <col min="15636" max="15636" width="10.140625" style="438" customWidth="1"/>
    <col min="15637" max="15871" width="9.140625" style="438"/>
    <col min="15872" max="15872" width="1.85546875" style="438" customWidth="1"/>
    <col min="15873" max="15873" width="16.5703125" style="438" bestFit="1" customWidth="1"/>
    <col min="15874" max="15874" width="9.5703125" style="438" bestFit="1" customWidth="1"/>
    <col min="15875" max="15876" width="9.140625" style="438"/>
    <col min="15877" max="15877" width="10.28515625" style="438" customWidth="1"/>
    <col min="15878" max="15878" width="9.28515625" style="438" customWidth="1"/>
    <col min="15879" max="15879" width="8.7109375" style="438" customWidth="1"/>
    <col min="15880" max="15880" width="10.28515625" style="438" customWidth="1"/>
    <col min="15881" max="15881" width="9.85546875" style="438" bestFit="1" customWidth="1"/>
    <col min="15882" max="15882" width="8.7109375" style="438" customWidth="1"/>
    <col min="15883" max="15883" width="8.5703125" style="438" customWidth="1"/>
    <col min="15884" max="15884" width="9.28515625" style="438" customWidth="1"/>
    <col min="15885" max="15886" width="8.42578125" style="438" customWidth="1"/>
    <col min="15887" max="15887" width="8.140625" style="438" customWidth="1"/>
    <col min="15888" max="15888" width="11.85546875" style="438" customWidth="1"/>
    <col min="15889" max="15889" width="10.140625" style="438" customWidth="1"/>
    <col min="15890" max="15890" width="3.5703125" style="438" customWidth="1"/>
    <col min="15891" max="15891" width="3.28515625" style="438" customWidth="1"/>
    <col min="15892" max="15892" width="10.140625" style="438" customWidth="1"/>
    <col min="15893" max="16127" width="9.140625" style="438"/>
    <col min="16128" max="16128" width="1.85546875" style="438" customWidth="1"/>
    <col min="16129" max="16129" width="16.5703125" style="438" bestFit="1" customWidth="1"/>
    <col min="16130" max="16130" width="9.5703125" style="438" bestFit="1" customWidth="1"/>
    <col min="16131" max="16132" width="9.140625" style="438"/>
    <col min="16133" max="16133" width="10.28515625" style="438" customWidth="1"/>
    <col min="16134" max="16134" width="9.28515625" style="438" customWidth="1"/>
    <col min="16135" max="16135" width="8.7109375" style="438" customWidth="1"/>
    <col min="16136" max="16136" width="10.28515625" style="438" customWidth="1"/>
    <col min="16137" max="16137" width="9.85546875" style="438" bestFit="1" customWidth="1"/>
    <col min="16138" max="16138" width="8.7109375" style="438" customWidth="1"/>
    <col min="16139" max="16139" width="8.5703125" style="438" customWidth="1"/>
    <col min="16140" max="16140" width="9.28515625" style="438" customWidth="1"/>
    <col min="16141" max="16142" width="8.42578125" style="438" customWidth="1"/>
    <col min="16143" max="16143" width="8.140625" style="438" customWidth="1"/>
    <col min="16144" max="16144" width="11.85546875" style="438" customWidth="1"/>
    <col min="16145" max="16145" width="10.140625" style="438" customWidth="1"/>
    <col min="16146" max="16146" width="3.5703125" style="438" customWidth="1"/>
    <col min="16147" max="16147" width="3.28515625" style="438" customWidth="1"/>
    <col min="16148" max="16148" width="10.140625" style="438" customWidth="1"/>
    <col min="16149" max="16384" width="9.140625" style="438"/>
  </cols>
  <sheetData>
    <row r="1" spans="2:20">
      <c r="O1" s="440"/>
      <c r="T1" s="441"/>
    </row>
    <row r="2" spans="2:20">
      <c r="T2" s="441"/>
    </row>
    <row r="3" spans="2:20" ht="18">
      <c r="C3" s="442"/>
      <c r="D3" s="442"/>
      <c r="E3" s="442"/>
      <c r="F3" s="442"/>
      <c r="G3" s="442"/>
      <c r="H3" s="442"/>
      <c r="I3" s="443" t="s">
        <v>296</v>
      </c>
      <c r="K3" s="442"/>
      <c r="L3" s="442"/>
      <c r="M3" s="442"/>
      <c r="N3" s="442"/>
      <c r="O3" s="442"/>
      <c r="P3" s="442"/>
      <c r="Q3" s="442"/>
    </row>
    <row r="4" spans="2:20" ht="13.5" thickBot="1">
      <c r="L4" s="444"/>
      <c r="Q4" s="446">
        <f>+Parameters!F4</f>
        <v>3.2750000000000004</v>
      </c>
    </row>
    <row r="5" spans="2:20" ht="39" thickBot="1">
      <c r="B5" s="447" t="s">
        <v>295</v>
      </c>
      <c r="C5" s="447" t="s">
        <v>283</v>
      </c>
      <c r="D5" s="448" t="s">
        <v>284</v>
      </c>
      <c r="E5" s="447" t="s">
        <v>286</v>
      </c>
      <c r="F5" s="449" t="s">
        <v>300</v>
      </c>
      <c r="G5" s="449" t="s">
        <v>285</v>
      </c>
      <c r="H5" s="449" t="s">
        <v>301</v>
      </c>
      <c r="I5" s="449" t="s">
        <v>287</v>
      </c>
      <c r="J5" s="449" t="s">
        <v>288</v>
      </c>
      <c r="K5" s="449" t="s">
        <v>302</v>
      </c>
      <c r="L5" s="450" t="s">
        <v>289</v>
      </c>
      <c r="M5" s="451" t="s">
        <v>308</v>
      </c>
      <c r="N5" s="451" t="s">
        <v>291</v>
      </c>
      <c r="O5" s="447" t="s">
        <v>303</v>
      </c>
      <c r="P5" s="447" t="s">
        <v>264</v>
      </c>
      <c r="Q5" s="452" t="s">
        <v>292</v>
      </c>
    </row>
    <row r="6" spans="2:20">
      <c r="B6" s="453"/>
      <c r="C6" s="453"/>
      <c r="D6" s="454"/>
      <c r="E6" s="453" t="s">
        <v>293</v>
      </c>
      <c r="F6" s="453" t="s">
        <v>294</v>
      </c>
      <c r="G6" s="453" t="s">
        <v>294</v>
      </c>
      <c r="H6" s="453" t="s">
        <v>294</v>
      </c>
      <c r="I6" s="455">
        <v>0.2</v>
      </c>
      <c r="J6" s="453" t="s">
        <v>294</v>
      </c>
      <c r="K6" s="453" t="s">
        <v>294</v>
      </c>
      <c r="L6" s="456"/>
      <c r="M6" s="453"/>
      <c r="N6" s="453"/>
      <c r="O6" s="453"/>
      <c r="P6" s="453" t="s">
        <v>304</v>
      </c>
      <c r="Q6" s="457" t="s">
        <v>293</v>
      </c>
    </row>
    <row r="7" spans="2:20">
      <c r="B7" s="71" t="s">
        <v>278</v>
      </c>
      <c r="C7" s="58" t="s">
        <v>67</v>
      </c>
      <c r="D7" s="459">
        <v>1</v>
      </c>
      <c r="E7" s="458">
        <v>25000</v>
      </c>
      <c r="F7" s="458">
        <f t="shared" ref="F7:F12" si="0">+E7*0.05</f>
        <v>1250</v>
      </c>
      <c r="G7" s="458">
        <f t="shared" ref="G7:G12" si="1">+E7*0.075</f>
        <v>1875</v>
      </c>
      <c r="H7" s="458">
        <f t="shared" ref="H7:H12" si="2">+E7*0.0833</f>
        <v>2082.5</v>
      </c>
      <c r="I7" s="458">
        <f t="shared" ref="I7:I12" si="3">+E7*0.015</f>
        <v>375</v>
      </c>
      <c r="J7" s="458">
        <f t="shared" ref="J7:J12" si="4">+E7*0.047</f>
        <v>1175</v>
      </c>
      <c r="K7" s="460">
        <f t="shared" ref="K7:K12" si="5">SUM(F7:J7)</f>
        <v>6757.5</v>
      </c>
      <c r="L7" s="460">
        <f t="shared" ref="L7:L12" si="6">+E7+K7</f>
        <v>31757.5</v>
      </c>
      <c r="M7" s="460">
        <v>4000</v>
      </c>
      <c r="N7" s="460">
        <f>6*330/12</f>
        <v>165</v>
      </c>
      <c r="O7" s="458">
        <f t="shared" ref="O7:O12" si="7">(+E7/22*15/12)*0.3</f>
        <v>426.13636363636357</v>
      </c>
      <c r="P7" s="458">
        <f t="shared" ref="P7:P12" si="8">+O7+M7+L7</f>
        <v>36183.636363636368</v>
      </c>
      <c r="Q7" s="467">
        <f t="shared" ref="Q7:Q13" si="9">+P7/$Q$4</f>
        <v>11048.438584316447</v>
      </c>
    </row>
    <row r="8" spans="2:20">
      <c r="B8" s="71" t="s">
        <v>279</v>
      </c>
      <c r="C8" s="58" t="s">
        <v>32</v>
      </c>
      <c r="D8" s="459">
        <v>0.3</v>
      </c>
      <c r="E8" s="458">
        <f>25000*D8</f>
        <v>7500</v>
      </c>
      <c r="F8" s="458">
        <f t="shared" si="0"/>
        <v>375</v>
      </c>
      <c r="G8" s="458">
        <f t="shared" si="1"/>
        <v>562.5</v>
      </c>
      <c r="H8" s="458">
        <f t="shared" si="2"/>
        <v>624.75</v>
      </c>
      <c r="I8" s="458">
        <f t="shared" si="3"/>
        <v>112.5</v>
      </c>
      <c r="J8" s="458">
        <f t="shared" si="4"/>
        <v>352.5</v>
      </c>
      <c r="K8" s="460">
        <f t="shared" si="5"/>
        <v>2027.25</v>
      </c>
      <c r="L8" s="460">
        <f t="shared" si="6"/>
        <v>9527.25</v>
      </c>
      <c r="M8" s="460"/>
      <c r="N8" s="460">
        <f>6*330/12</f>
        <v>165</v>
      </c>
      <c r="O8" s="458">
        <f t="shared" si="7"/>
        <v>127.84090909090909</v>
      </c>
      <c r="P8" s="458">
        <f t="shared" si="8"/>
        <v>9655.0909090909099</v>
      </c>
      <c r="Q8" s="467">
        <f t="shared" si="9"/>
        <v>2948.1193615544762</v>
      </c>
    </row>
    <row r="9" spans="2:20">
      <c r="B9" s="468" t="s">
        <v>280</v>
      </c>
      <c r="C9" s="58" t="s">
        <v>32</v>
      </c>
      <c r="D9" s="459">
        <v>1</v>
      </c>
      <c r="E9" s="458">
        <v>22000</v>
      </c>
      <c r="F9" s="458">
        <f t="shared" si="0"/>
        <v>1100</v>
      </c>
      <c r="G9" s="458">
        <f t="shared" si="1"/>
        <v>1650</v>
      </c>
      <c r="H9" s="458">
        <f t="shared" si="2"/>
        <v>1832.6</v>
      </c>
      <c r="I9" s="458">
        <f t="shared" si="3"/>
        <v>330</v>
      </c>
      <c r="J9" s="458">
        <f t="shared" si="4"/>
        <v>1034</v>
      </c>
      <c r="K9" s="460">
        <f t="shared" si="5"/>
        <v>5946.6</v>
      </c>
      <c r="L9" s="460">
        <f t="shared" si="6"/>
        <v>27946.6</v>
      </c>
      <c r="M9" s="460"/>
      <c r="N9" s="460">
        <f>6*330/12</f>
        <v>165</v>
      </c>
      <c r="O9" s="458">
        <f t="shared" si="7"/>
        <v>375</v>
      </c>
      <c r="P9" s="458">
        <f t="shared" si="8"/>
        <v>28321.599999999999</v>
      </c>
      <c r="Q9" s="467">
        <f t="shared" si="9"/>
        <v>8647.8167938931292</v>
      </c>
    </row>
    <row r="10" spans="2:20">
      <c r="B10" s="71" t="s">
        <v>281</v>
      </c>
      <c r="C10" s="58" t="s">
        <v>32</v>
      </c>
      <c r="D10" s="459">
        <v>1</v>
      </c>
      <c r="E10" s="458">
        <v>14000</v>
      </c>
      <c r="F10" s="458">
        <f t="shared" si="0"/>
        <v>700</v>
      </c>
      <c r="G10" s="458">
        <f t="shared" si="1"/>
        <v>1050</v>
      </c>
      <c r="H10" s="458">
        <f t="shared" si="2"/>
        <v>1166.2</v>
      </c>
      <c r="I10" s="458">
        <f t="shared" si="3"/>
        <v>210</v>
      </c>
      <c r="J10" s="458">
        <f t="shared" si="4"/>
        <v>658</v>
      </c>
      <c r="K10" s="460">
        <f t="shared" si="5"/>
        <v>3784.2</v>
      </c>
      <c r="L10" s="460">
        <f t="shared" si="6"/>
        <v>17784.2</v>
      </c>
      <c r="M10" s="460"/>
      <c r="N10" s="460">
        <f>6*330/12</f>
        <v>165</v>
      </c>
      <c r="O10" s="458">
        <f t="shared" si="7"/>
        <v>238.63636363636363</v>
      </c>
      <c r="P10" s="458">
        <f t="shared" si="8"/>
        <v>18022.836363636365</v>
      </c>
      <c r="Q10" s="467">
        <f t="shared" si="9"/>
        <v>5503.1561415683555</v>
      </c>
    </row>
    <row r="11" spans="2:20">
      <c r="B11" s="71" t="s">
        <v>282</v>
      </c>
      <c r="C11" s="58" t="s">
        <v>32</v>
      </c>
      <c r="D11" s="459">
        <v>1</v>
      </c>
      <c r="E11" s="458">
        <v>13000</v>
      </c>
      <c r="F11" s="458">
        <f t="shared" si="0"/>
        <v>650</v>
      </c>
      <c r="G11" s="458">
        <f t="shared" si="1"/>
        <v>975</v>
      </c>
      <c r="H11" s="458">
        <f t="shared" si="2"/>
        <v>1082.9000000000001</v>
      </c>
      <c r="I11" s="458">
        <f t="shared" si="3"/>
        <v>195</v>
      </c>
      <c r="J11" s="458">
        <f t="shared" si="4"/>
        <v>611</v>
      </c>
      <c r="K11" s="460">
        <f t="shared" si="5"/>
        <v>3513.9</v>
      </c>
      <c r="L11" s="460">
        <f t="shared" si="6"/>
        <v>16513.900000000001</v>
      </c>
      <c r="M11" s="460"/>
      <c r="N11" s="460">
        <f>6*330/12</f>
        <v>165</v>
      </c>
      <c r="O11" s="458">
        <f t="shared" si="7"/>
        <v>221.59090909090909</v>
      </c>
      <c r="P11" s="458">
        <f t="shared" si="8"/>
        <v>16735.49090909091</v>
      </c>
      <c r="Q11" s="467">
        <f t="shared" si="9"/>
        <v>5110.0735600277585</v>
      </c>
    </row>
    <row r="12" spans="2:20">
      <c r="B12" s="71" t="s">
        <v>306</v>
      </c>
      <c r="C12" s="471" t="s">
        <v>307</v>
      </c>
      <c r="D12" s="459">
        <v>1</v>
      </c>
      <c r="E12" s="458">
        <v>15000</v>
      </c>
      <c r="F12" s="458">
        <f t="shared" si="0"/>
        <v>750</v>
      </c>
      <c r="G12" s="458">
        <f t="shared" si="1"/>
        <v>1125</v>
      </c>
      <c r="H12" s="458">
        <f t="shared" si="2"/>
        <v>1249.5</v>
      </c>
      <c r="I12" s="458">
        <f t="shared" si="3"/>
        <v>225</v>
      </c>
      <c r="J12" s="458">
        <f t="shared" si="4"/>
        <v>705</v>
      </c>
      <c r="K12" s="460">
        <f t="shared" si="5"/>
        <v>4054.5</v>
      </c>
      <c r="L12" s="460">
        <f t="shared" si="6"/>
        <v>19054.5</v>
      </c>
      <c r="M12" s="460">
        <v>6000</v>
      </c>
      <c r="N12" s="460"/>
      <c r="O12" s="458">
        <f t="shared" si="7"/>
        <v>255.68181818181819</v>
      </c>
      <c r="P12" s="458">
        <f t="shared" si="8"/>
        <v>25310.181818181816</v>
      </c>
      <c r="Q12" s="467">
        <f t="shared" si="9"/>
        <v>7728.2997918112405</v>
      </c>
    </row>
    <row r="13" spans="2:20" ht="13.5" thickBot="1">
      <c r="B13" s="469"/>
      <c r="C13" s="462"/>
      <c r="D13" s="462"/>
      <c r="E13" s="458"/>
      <c r="F13" s="460"/>
      <c r="G13" s="460"/>
      <c r="H13" s="460"/>
      <c r="I13" s="460"/>
      <c r="J13" s="460"/>
      <c r="K13" s="460"/>
      <c r="L13" s="460"/>
      <c r="M13" s="460"/>
      <c r="N13" s="460"/>
      <c r="O13" s="458"/>
      <c r="P13" s="458"/>
      <c r="Q13" s="467">
        <f t="shared" si="9"/>
        <v>0</v>
      </c>
    </row>
    <row r="14" spans="2:20" ht="13.5" thickBot="1">
      <c r="B14" s="463" t="s">
        <v>23</v>
      </c>
      <c r="C14" s="464"/>
      <c r="D14" s="464"/>
      <c r="E14" s="465">
        <f>SUM(E4:E13)</f>
        <v>96500</v>
      </c>
      <c r="F14" s="466">
        <f t="shared" ref="F14:Q14" si="10">SUM(F7:F13)</f>
        <v>4825</v>
      </c>
      <c r="G14" s="466">
        <f t="shared" si="10"/>
        <v>7237.5</v>
      </c>
      <c r="H14" s="466">
        <f t="shared" si="10"/>
        <v>8038.4500000000007</v>
      </c>
      <c r="I14" s="466">
        <f t="shared" si="10"/>
        <v>1447.5</v>
      </c>
      <c r="J14" s="466">
        <f t="shared" si="10"/>
        <v>4535.5</v>
      </c>
      <c r="K14" s="466">
        <f t="shared" si="10"/>
        <v>26083.95</v>
      </c>
      <c r="L14" s="466">
        <f t="shared" si="10"/>
        <v>122583.95000000001</v>
      </c>
      <c r="M14" s="466">
        <f t="shared" si="10"/>
        <v>10000</v>
      </c>
      <c r="N14" s="466">
        <f t="shared" si="10"/>
        <v>825</v>
      </c>
      <c r="O14" s="466">
        <f t="shared" si="10"/>
        <v>1644.8863636363635</v>
      </c>
      <c r="P14" s="466">
        <f t="shared" si="10"/>
        <v>134228.83636363636</v>
      </c>
      <c r="Q14" s="470">
        <f t="shared" si="10"/>
        <v>40985.904233171401</v>
      </c>
    </row>
    <row r="17" spans="2:17" ht="18">
      <c r="C17" s="442"/>
      <c r="D17" s="442"/>
      <c r="E17" s="442"/>
      <c r="F17" s="442"/>
      <c r="G17" s="442"/>
      <c r="H17" s="442"/>
      <c r="I17" s="443" t="s">
        <v>297</v>
      </c>
      <c r="K17" s="442"/>
      <c r="L17" s="442"/>
      <c r="M17" s="442"/>
      <c r="N17" s="442"/>
      <c r="O17" s="442"/>
      <c r="P17" s="442"/>
      <c r="Q17" s="442"/>
    </row>
    <row r="18" spans="2:17" ht="13.5" thickBot="1">
      <c r="L18" s="444"/>
      <c r="Q18" s="446">
        <f>+Parameters!F5</f>
        <v>1.2</v>
      </c>
    </row>
    <row r="19" spans="2:17" ht="39" thickBot="1">
      <c r="B19" s="447" t="s">
        <v>295</v>
      </c>
      <c r="C19" s="447" t="s">
        <v>283</v>
      </c>
      <c r="D19" s="448" t="s">
        <v>284</v>
      </c>
      <c r="E19" s="447" t="s">
        <v>286</v>
      </c>
      <c r="F19" s="449" t="s">
        <v>300</v>
      </c>
      <c r="G19" s="449" t="s">
        <v>285</v>
      </c>
      <c r="H19" s="449" t="s">
        <v>301</v>
      </c>
      <c r="I19" s="449" t="s">
        <v>287</v>
      </c>
      <c r="J19" s="449" t="s">
        <v>288</v>
      </c>
      <c r="K19" s="449" t="s">
        <v>302</v>
      </c>
      <c r="L19" s="450" t="s">
        <v>289</v>
      </c>
      <c r="M19" s="451" t="s">
        <v>290</v>
      </c>
      <c r="N19" s="451" t="s">
        <v>291</v>
      </c>
      <c r="O19" s="447" t="s">
        <v>303</v>
      </c>
      <c r="P19" s="447" t="s">
        <v>264</v>
      </c>
      <c r="Q19" s="452" t="s">
        <v>292</v>
      </c>
    </row>
    <row r="20" spans="2:17">
      <c r="B20" s="453"/>
      <c r="C20" s="453"/>
      <c r="D20" s="454"/>
      <c r="E20" s="453" t="s">
        <v>293</v>
      </c>
      <c r="F20" s="453" t="s">
        <v>299</v>
      </c>
      <c r="G20" s="453" t="s">
        <v>299</v>
      </c>
      <c r="H20" s="453" t="s">
        <v>299</v>
      </c>
      <c r="I20" s="455">
        <v>0.2</v>
      </c>
      <c r="J20" s="453" t="s">
        <v>299</v>
      </c>
      <c r="K20" s="453" t="s">
        <v>299</v>
      </c>
      <c r="L20" s="456"/>
      <c r="M20" s="453"/>
      <c r="N20" s="453"/>
      <c r="O20" s="453"/>
      <c r="P20" s="453" t="s">
        <v>305</v>
      </c>
      <c r="Q20" s="457" t="s">
        <v>293</v>
      </c>
    </row>
    <row r="21" spans="2:17">
      <c r="B21" s="71" t="s">
        <v>298</v>
      </c>
      <c r="C21" s="58" t="s">
        <v>67</v>
      </c>
      <c r="D21" s="459">
        <v>1</v>
      </c>
      <c r="E21" s="458">
        <v>3500</v>
      </c>
      <c r="F21" s="458"/>
      <c r="G21" s="458"/>
      <c r="H21" s="458"/>
      <c r="I21" s="458"/>
      <c r="J21" s="458"/>
      <c r="K21" s="460">
        <f>+E21*0.105</f>
        <v>367.5</v>
      </c>
      <c r="L21" s="460">
        <f>+E21+K21</f>
        <v>3867.5</v>
      </c>
      <c r="M21" s="460">
        <v>0</v>
      </c>
      <c r="N21" s="460"/>
      <c r="O21" s="458"/>
      <c r="P21" s="458">
        <f>+O21+M21+L21</f>
        <v>3867.5</v>
      </c>
      <c r="Q21" s="467">
        <f>+P21*$Q$18</f>
        <v>4641</v>
      </c>
    </row>
    <row r="22" spans="2:17">
      <c r="B22" s="71" t="s">
        <v>315</v>
      </c>
      <c r="C22" s="58" t="s">
        <v>67</v>
      </c>
      <c r="D22" s="459">
        <v>1</v>
      </c>
      <c r="E22" s="458">
        <v>1700</v>
      </c>
      <c r="F22" s="458"/>
      <c r="G22" s="458"/>
      <c r="H22" s="458"/>
      <c r="I22" s="458"/>
      <c r="J22" s="458"/>
      <c r="K22" s="460">
        <f>+E22*0.105</f>
        <v>178.5</v>
      </c>
      <c r="L22" s="460">
        <f>+E22+K22</f>
        <v>1878.5</v>
      </c>
      <c r="M22" s="460"/>
      <c r="N22" s="460"/>
      <c r="O22" s="458"/>
      <c r="P22" s="458">
        <f>+O22+M22+L22</f>
        <v>1878.5</v>
      </c>
      <c r="Q22" s="467">
        <f>+P22*$Q$18</f>
        <v>2254.1999999999998</v>
      </c>
    </row>
    <row r="23" spans="2:17">
      <c r="B23" s="468" t="s">
        <v>316</v>
      </c>
      <c r="C23" s="58" t="s">
        <v>67</v>
      </c>
      <c r="D23" s="459">
        <v>1</v>
      </c>
      <c r="E23" s="458">
        <v>1700</v>
      </c>
      <c r="F23" s="458"/>
      <c r="G23" s="458"/>
      <c r="H23" s="458"/>
      <c r="I23" s="458"/>
      <c r="J23" s="458"/>
      <c r="K23" s="460">
        <f>+E23*0.105</f>
        <v>178.5</v>
      </c>
      <c r="L23" s="460">
        <f>+E23+K23</f>
        <v>1878.5</v>
      </c>
      <c r="M23" s="460"/>
      <c r="N23" s="460"/>
      <c r="O23" s="458"/>
      <c r="P23" s="458">
        <f>+O23+M23+L23</f>
        <v>1878.5</v>
      </c>
      <c r="Q23" s="467">
        <f>+P23*$Q$18</f>
        <v>2254.1999999999998</v>
      </c>
    </row>
    <row r="24" spans="2:17">
      <c r="B24" s="71"/>
      <c r="C24" s="58"/>
      <c r="D24" s="459"/>
      <c r="E24" s="458"/>
      <c r="F24" s="458">
        <f>+E24*0.05</f>
        <v>0</v>
      </c>
      <c r="G24" s="458">
        <f>+E24*0.075</f>
        <v>0</v>
      </c>
      <c r="H24" s="458">
        <f>+E24*0.0833</f>
        <v>0</v>
      </c>
      <c r="I24" s="458">
        <f>+E24*0.015</f>
        <v>0</v>
      </c>
      <c r="J24" s="458">
        <f>+E24*0.047</f>
        <v>0</v>
      </c>
      <c r="K24" s="460">
        <f>+E24*0.105</f>
        <v>0</v>
      </c>
      <c r="L24" s="460">
        <f>+E24+K24</f>
        <v>0</v>
      </c>
      <c r="M24" s="460"/>
      <c r="N24" s="460"/>
      <c r="O24" s="458">
        <f>(+E24/22*15/12)*0.3</f>
        <v>0</v>
      </c>
      <c r="P24" s="458">
        <f>+O24+M24+L24</f>
        <v>0</v>
      </c>
      <c r="Q24" s="467">
        <f>+P24/$Q$18</f>
        <v>0</v>
      </c>
    </row>
    <row r="25" spans="2:17">
      <c r="B25" s="71"/>
      <c r="C25" s="58"/>
      <c r="D25" s="459"/>
      <c r="E25" s="458"/>
      <c r="F25" s="458">
        <f>+E25*0.05</f>
        <v>0</v>
      </c>
      <c r="G25" s="458">
        <f>+E25*0.075</f>
        <v>0</v>
      </c>
      <c r="H25" s="458">
        <f>+E25*0.0833</f>
        <v>0</v>
      </c>
      <c r="I25" s="458">
        <f>+E25*0.015</f>
        <v>0</v>
      </c>
      <c r="J25" s="458">
        <f>+E25*0.047</f>
        <v>0</v>
      </c>
      <c r="K25" s="460">
        <f>+E25*0.105</f>
        <v>0</v>
      </c>
      <c r="L25" s="460">
        <f>+E25+K25</f>
        <v>0</v>
      </c>
      <c r="M25" s="460"/>
      <c r="N25" s="460"/>
      <c r="O25" s="458">
        <f>(+E25/22*15/12)*0.3</f>
        <v>0</v>
      </c>
      <c r="P25" s="458">
        <f>+O25+M25+L25</f>
        <v>0</v>
      </c>
      <c r="Q25" s="467">
        <f>+P25/$Q$18</f>
        <v>0</v>
      </c>
    </row>
    <row r="26" spans="2:17">
      <c r="B26" s="71"/>
      <c r="C26" s="461"/>
      <c r="D26" s="459"/>
      <c r="E26" s="458"/>
      <c r="F26" s="458"/>
      <c r="G26" s="458"/>
      <c r="H26" s="458"/>
      <c r="I26" s="458"/>
      <c r="J26" s="458"/>
      <c r="K26" s="460"/>
      <c r="L26" s="460"/>
      <c r="M26" s="460"/>
      <c r="N26" s="460"/>
      <c r="O26" s="458"/>
      <c r="P26" s="458"/>
      <c r="Q26" s="467">
        <f>+P26/$Q$18</f>
        <v>0</v>
      </c>
    </row>
    <row r="27" spans="2:17" ht="13.5" thickBot="1">
      <c r="B27" s="469"/>
      <c r="C27" s="462"/>
      <c r="D27" s="462"/>
      <c r="E27" s="458"/>
      <c r="F27" s="460"/>
      <c r="G27" s="460"/>
      <c r="H27" s="460"/>
      <c r="I27" s="460"/>
      <c r="J27" s="460"/>
      <c r="K27" s="460"/>
      <c r="L27" s="460"/>
      <c r="M27" s="460"/>
      <c r="N27" s="460"/>
      <c r="O27" s="458"/>
      <c r="P27" s="458"/>
      <c r="Q27" s="467">
        <f>+P27/$Q$18</f>
        <v>0</v>
      </c>
    </row>
    <row r="28" spans="2:17" ht="13.5" thickBot="1">
      <c r="B28" s="463" t="s">
        <v>23</v>
      </c>
      <c r="C28" s="464"/>
      <c r="D28" s="464"/>
      <c r="E28" s="465">
        <f>SUM(E18:E27)</f>
        <v>6900</v>
      </c>
      <c r="F28" s="466">
        <f t="shared" ref="F28:Q28" si="11">SUM(F21:F27)</f>
        <v>0</v>
      </c>
      <c r="G28" s="466">
        <f t="shared" si="11"/>
        <v>0</v>
      </c>
      <c r="H28" s="466">
        <f t="shared" si="11"/>
        <v>0</v>
      </c>
      <c r="I28" s="466">
        <f t="shared" si="11"/>
        <v>0</v>
      </c>
      <c r="J28" s="466">
        <f t="shared" si="11"/>
        <v>0</v>
      </c>
      <c r="K28" s="466">
        <f t="shared" si="11"/>
        <v>724.5</v>
      </c>
      <c r="L28" s="466">
        <f t="shared" si="11"/>
        <v>7624.5</v>
      </c>
      <c r="M28" s="466">
        <f t="shared" si="11"/>
        <v>0</v>
      </c>
      <c r="N28" s="466">
        <f t="shared" si="11"/>
        <v>0</v>
      </c>
      <c r="O28" s="466">
        <f t="shared" si="11"/>
        <v>0</v>
      </c>
      <c r="P28" s="466">
        <f t="shared" si="11"/>
        <v>7624.5</v>
      </c>
      <c r="Q28" s="470">
        <f t="shared" si="11"/>
        <v>9149.4</v>
      </c>
    </row>
  </sheetData>
  <hyperlinks>
    <hyperlink ref="C11" r:id="rId1" display="R@D" xr:uid="{00000000-0004-0000-0C00-000000000000}"/>
    <hyperlink ref="C10" r:id="rId2" display="R@D" xr:uid="{00000000-0004-0000-0C00-000001000000}"/>
    <hyperlink ref="C9" r:id="rId3" display="R@D" xr:uid="{00000000-0004-0000-0C00-000002000000}"/>
    <hyperlink ref="C8" r:id="rId4" display="R@D" xr:uid="{00000000-0004-0000-0C00-000003000000}"/>
  </hyperlinks>
  <pageMargins left="0.75" right="0.75" top="1" bottom="1" header="0.5" footer="0.5"/>
  <pageSetup scale="69" orientation="landscape" verticalDpi="300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46"/>
  <sheetViews>
    <sheetView topLeftCell="A11" workbookViewId="0"/>
  </sheetViews>
  <sheetFormatPr defaultRowHeight="12.75"/>
  <cols>
    <col min="1" max="1" width="32.5703125" style="356" customWidth="1"/>
    <col min="2" max="2" width="11.28515625" style="356" bestFit="1" customWidth="1"/>
    <col min="3" max="3" width="9.140625" style="356" customWidth="1"/>
    <col min="4" max="4" width="11.42578125" style="356" customWidth="1"/>
    <col min="5" max="5" width="11" style="356" customWidth="1"/>
    <col min="6" max="6" width="3.5703125" style="356" customWidth="1"/>
    <col min="7" max="7" width="11.85546875" style="356" bestFit="1" customWidth="1"/>
    <col min="8" max="8" width="11.7109375" style="356" customWidth="1"/>
    <col min="9" max="10" width="13" style="356" bestFit="1" customWidth="1"/>
    <col min="11" max="11" width="11.28515625" style="356" customWidth="1"/>
    <col min="12" max="12" width="11.42578125" style="356" customWidth="1"/>
    <col min="13" max="13" width="11" style="356" bestFit="1" customWidth="1"/>
    <col min="14" max="17" width="12.5703125" style="356" bestFit="1" customWidth="1"/>
    <col min="18" max="18" width="13.7109375" style="356" bestFit="1" customWidth="1"/>
    <col min="19" max="16384" width="9.140625" style="356"/>
  </cols>
  <sheetData>
    <row r="1" spans="1:11" ht="18.75">
      <c r="E1" s="506" t="s">
        <v>348</v>
      </c>
      <c r="F1" s="506"/>
    </row>
    <row r="2" spans="1:11" ht="11.25" customHeight="1" thickBot="1">
      <c r="E2" s="506"/>
      <c r="F2" s="506"/>
    </row>
    <row r="3" spans="1:11" ht="15" customHeight="1">
      <c r="B3" s="881" t="s">
        <v>339</v>
      </c>
      <c r="C3" s="882"/>
      <c r="D3" s="882"/>
      <c r="E3" s="883"/>
      <c r="F3" s="506"/>
      <c r="G3" s="881" t="s">
        <v>340</v>
      </c>
      <c r="H3" s="882"/>
      <c r="I3" s="882"/>
      <c r="J3" s="883"/>
    </row>
    <row r="4" spans="1:11" ht="15" customHeight="1" thickBot="1">
      <c r="A4" s="507" t="s">
        <v>360</v>
      </c>
      <c r="B4" s="508" t="s">
        <v>11</v>
      </c>
      <c r="C4" s="509" t="s">
        <v>12</v>
      </c>
      <c r="D4" s="509" t="s">
        <v>13</v>
      </c>
      <c r="E4" s="510" t="s">
        <v>14</v>
      </c>
      <c r="F4" s="506"/>
      <c r="G4" s="508" t="s">
        <v>11</v>
      </c>
      <c r="H4" s="509" t="s">
        <v>12</v>
      </c>
      <c r="I4" s="509" t="s">
        <v>13</v>
      </c>
      <c r="J4" s="510" t="s">
        <v>14</v>
      </c>
    </row>
    <row r="5" spans="1:11" ht="15" customHeight="1">
      <c r="A5" s="28" t="s">
        <v>49</v>
      </c>
      <c r="B5" s="479">
        <v>3.8999999999999998E-3</v>
      </c>
      <c r="C5" s="479">
        <f>+B5</f>
        <v>3.8999999999999998E-3</v>
      </c>
      <c r="D5" s="479">
        <v>3.5999999999999999E-3</v>
      </c>
      <c r="E5" s="479">
        <f t="shared" ref="E5:J5" si="0">+D5</f>
        <v>3.5999999999999999E-3</v>
      </c>
      <c r="F5" s="506"/>
      <c r="G5" s="479">
        <f>+E5</f>
        <v>3.5999999999999999E-3</v>
      </c>
      <c r="H5" s="479">
        <v>3.3999999999999998E-3</v>
      </c>
      <c r="I5" s="479">
        <f t="shared" si="0"/>
        <v>3.3999999999999998E-3</v>
      </c>
      <c r="J5" s="479">
        <f t="shared" si="0"/>
        <v>3.3999999999999998E-3</v>
      </c>
    </row>
    <row r="6" spans="1:11" ht="15" customHeight="1">
      <c r="A6" s="522" t="s">
        <v>361</v>
      </c>
      <c r="B6" s="523">
        <v>0.3</v>
      </c>
      <c r="C6" s="38">
        <f>+B6</f>
        <v>0.3</v>
      </c>
      <c r="D6" s="38">
        <f t="shared" ref="D6:J6" si="1">+C6</f>
        <v>0.3</v>
      </c>
      <c r="E6" s="38">
        <f t="shared" si="1"/>
        <v>0.3</v>
      </c>
      <c r="F6" s="524"/>
      <c r="G6" s="38">
        <f>+E6</f>
        <v>0.3</v>
      </c>
      <c r="H6" s="38">
        <f t="shared" si="1"/>
        <v>0.3</v>
      </c>
      <c r="I6" s="38">
        <f t="shared" si="1"/>
        <v>0.3</v>
      </c>
      <c r="J6" s="38">
        <f t="shared" si="1"/>
        <v>0.3</v>
      </c>
    </row>
    <row r="7" spans="1:11" ht="15" customHeight="1">
      <c r="A7" s="522" t="s">
        <v>363</v>
      </c>
      <c r="B7" s="523">
        <v>0.5</v>
      </c>
      <c r="C7" s="523">
        <v>0.6</v>
      </c>
      <c r="D7" s="523">
        <v>1</v>
      </c>
      <c r="E7" s="523">
        <f t="shared" ref="E7:J7" si="2">+D7</f>
        <v>1</v>
      </c>
      <c r="F7" s="506"/>
      <c r="G7" s="523">
        <v>1</v>
      </c>
      <c r="H7" s="523">
        <f t="shared" si="2"/>
        <v>1</v>
      </c>
      <c r="I7" s="523">
        <f>+H7</f>
        <v>1</v>
      </c>
      <c r="J7" s="523">
        <f t="shared" si="2"/>
        <v>1</v>
      </c>
    </row>
    <row r="8" spans="1:11" ht="15" customHeight="1">
      <c r="A8" s="356" t="s">
        <v>368</v>
      </c>
      <c r="B8" s="357" t="e">
        <f>+#REF!*B6*B7</f>
        <v>#REF!</v>
      </c>
      <c r="C8" s="357" t="e">
        <f>+#REF!*C6*C7</f>
        <v>#REF!</v>
      </c>
      <c r="D8" s="357" t="e">
        <f>+#REF!*D6*D7</f>
        <v>#REF!</v>
      </c>
      <c r="E8" s="357" t="e">
        <f>+#REF!*E6*E7</f>
        <v>#REF!</v>
      </c>
      <c r="F8" s="506"/>
      <c r="G8" s="357" t="e">
        <f>+#REF!*G6*G7</f>
        <v>#REF!</v>
      </c>
      <c r="H8" s="357" t="e">
        <f>+#REF!*H6*H7</f>
        <v>#REF!</v>
      </c>
      <c r="I8" s="357" t="e">
        <f>+#REF!*I6*I7</f>
        <v>#REF!</v>
      </c>
      <c r="J8" s="357" t="e">
        <f>+#REF!*J6*J7</f>
        <v>#REF!</v>
      </c>
    </row>
    <row r="9" spans="1:11" ht="15" customHeight="1">
      <c r="A9" s="356" t="s">
        <v>362</v>
      </c>
      <c r="B9" s="212" t="e">
        <f>+B8*B5</f>
        <v>#REF!</v>
      </c>
      <c r="C9" s="212" t="e">
        <f>+C8*C5</f>
        <v>#REF!</v>
      </c>
      <c r="D9" s="212" t="e">
        <f>+D8*D5</f>
        <v>#REF!</v>
      </c>
      <c r="E9" s="212" t="e">
        <f>+E8*E5</f>
        <v>#REF!</v>
      </c>
      <c r="F9" s="506"/>
      <c r="G9" s="212" t="e">
        <f>+G8*G5</f>
        <v>#REF!</v>
      </c>
      <c r="H9" s="212" t="e">
        <f>+H8*H5</f>
        <v>#REF!</v>
      </c>
      <c r="I9" s="212" t="e">
        <f>+I8*I5</f>
        <v>#REF!</v>
      </c>
      <c r="J9" s="212" t="e">
        <f>+J8*J5</f>
        <v>#REF!</v>
      </c>
    </row>
    <row r="10" spans="1:11" ht="15" customHeight="1">
      <c r="A10" s="356" t="s">
        <v>367</v>
      </c>
      <c r="B10" s="4" t="e">
        <f>+B26*50*B7/1000</f>
        <v>#REF!</v>
      </c>
      <c r="C10" s="4" t="e">
        <f>+C26*50*C7/1000</f>
        <v>#REF!</v>
      </c>
      <c r="D10" s="4"/>
      <c r="E10" s="506"/>
      <c r="F10" s="506"/>
    </row>
    <row r="11" spans="1:11" ht="15" customHeight="1" thickBot="1">
      <c r="F11" s="506"/>
    </row>
    <row r="12" spans="1:11" ht="15" customHeight="1">
      <c r="B12" s="881" t="s">
        <v>339</v>
      </c>
      <c r="C12" s="882"/>
      <c r="D12" s="882"/>
      <c r="E12" s="883"/>
      <c r="F12" s="506"/>
      <c r="G12" s="881" t="s">
        <v>340</v>
      </c>
      <c r="H12" s="882"/>
      <c r="I12" s="882"/>
      <c r="J12" s="883"/>
    </row>
    <row r="13" spans="1:11" s="507" customFormat="1" ht="15" customHeight="1" thickBot="1">
      <c r="A13" s="507" t="s">
        <v>349</v>
      </c>
      <c r="B13" s="508" t="s">
        <v>11</v>
      </c>
      <c r="C13" s="509" t="s">
        <v>12</v>
      </c>
      <c r="D13" s="509" t="s">
        <v>13</v>
      </c>
      <c r="E13" s="510" t="s">
        <v>14</v>
      </c>
      <c r="F13" s="506"/>
      <c r="G13" s="508" t="s">
        <v>11</v>
      </c>
      <c r="H13" s="509" t="s">
        <v>12</v>
      </c>
      <c r="I13" s="509" t="s">
        <v>13</v>
      </c>
      <c r="J13" s="510" t="s">
        <v>14</v>
      </c>
      <c r="K13" s="356"/>
    </row>
    <row r="14" spans="1:11" ht="15" customHeight="1">
      <c r="F14" s="506"/>
    </row>
    <row r="15" spans="1:11" ht="15" customHeight="1">
      <c r="A15" s="511" t="s">
        <v>350</v>
      </c>
      <c r="B15" s="357"/>
      <c r="C15" s="357"/>
      <c r="D15" s="357"/>
      <c r="E15" s="357"/>
      <c r="F15" s="506"/>
      <c r="G15" s="357"/>
      <c r="H15" s="357"/>
      <c r="I15" s="357"/>
      <c r="J15" s="357"/>
      <c r="K15" s="357"/>
    </row>
    <row r="16" spans="1:11" ht="15" customHeight="1">
      <c r="A16" s="356" t="s">
        <v>369</v>
      </c>
      <c r="B16" s="525" t="e">
        <f>-+B29*B30*B37</f>
        <v>#REF!</v>
      </c>
      <c r="C16" s="525" t="e">
        <f t="shared" ref="C16:J16" si="3">-+C29*C30*C37</f>
        <v>#REF!</v>
      </c>
      <c r="D16" s="525" t="e">
        <f t="shared" si="3"/>
        <v>#REF!</v>
      </c>
      <c r="E16" s="525" t="e">
        <f t="shared" si="3"/>
        <v>#REF!</v>
      </c>
      <c r="F16" s="526"/>
      <c r="G16" s="525" t="e">
        <f t="shared" si="3"/>
        <v>#REF!</v>
      </c>
      <c r="H16" s="525" t="e">
        <f t="shared" si="3"/>
        <v>#REF!</v>
      </c>
      <c r="I16" s="525" t="e">
        <f t="shared" si="3"/>
        <v>#REF!</v>
      </c>
      <c r="J16" s="525" t="e">
        <f t="shared" si="3"/>
        <v>#REF!</v>
      </c>
      <c r="K16" s="357"/>
    </row>
    <row r="17" spans="1:18" ht="15" customHeight="1">
      <c r="A17" s="356" t="s">
        <v>351</v>
      </c>
      <c r="B17" s="527" t="e">
        <f>-B16*B32</f>
        <v>#REF!</v>
      </c>
      <c r="C17" s="527" t="e">
        <f>-C16*C32</f>
        <v>#REF!</v>
      </c>
      <c r="D17" s="527" t="e">
        <f>-D16*D32</f>
        <v>#REF!</v>
      </c>
      <c r="E17" s="527" t="e">
        <f>-E16*E32</f>
        <v>#REF!</v>
      </c>
      <c r="F17" s="526"/>
      <c r="G17" s="527" t="e">
        <f>-G16*G32</f>
        <v>#REF!</v>
      </c>
      <c r="H17" s="527" t="e">
        <f>-H16*H32</f>
        <v>#REF!</v>
      </c>
      <c r="I17" s="527" t="e">
        <f>-I16*I32</f>
        <v>#REF!</v>
      </c>
      <c r="J17" s="527" t="e">
        <f>-J16*J32</f>
        <v>#REF!</v>
      </c>
      <c r="K17" s="357"/>
    </row>
    <row r="18" spans="1:18" ht="15" customHeight="1">
      <c r="A18" s="512" t="s">
        <v>352</v>
      </c>
      <c r="B18" s="528" t="e">
        <f>SUM(B16:B17)</f>
        <v>#REF!</v>
      </c>
      <c r="C18" s="528" t="e">
        <f>SUM(C16:C17)</f>
        <v>#REF!</v>
      </c>
      <c r="D18" s="528" t="e">
        <f>SUM(D16:D17)</f>
        <v>#REF!</v>
      </c>
      <c r="E18" s="528" t="e">
        <f>SUM(E16:E17)</f>
        <v>#REF!</v>
      </c>
      <c r="F18" s="526"/>
      <c r="G18" s="528" t="e">
        <f>SUM(G16:G17)</f>
        <v>#REF!</v>
      </c>
      <c r="H18" s="528" t="e">
        <f>SUM(H16:H17)</f>
        <v>#REF!</v>
      </c>
      <c r="I18" s="528" t="e">
        <f>SUM(I16:I17)</f>
        <v>#REF!</v>
      </c>
      <c r="J18" s="528" t="e">
        <f>SUM(J16:J17)</f>
        <v>#REF!</v>
      </c>
      <c r="K18" s="357"/>
      <c r="L18" s="535"/>
      <c r="M18" s="535"/>
    </row>
    <row r="19" spans="1:18" ht="15" customHeight="1">
      <c r="A19" s="512"/>
      <c r="B19" s="513"/>
      <c r="C19" s="513"/>
      <c r="D19" s="513"/>
      <c r="E19" s="513"/>
      <c r="F19" s="506"/>
      <c r="G19" s="513"/>
      <c r="H19" s="513"/>
      <c r="I19" s="513"/>
      <c r="J19" s="513"/>
      <c r="K19" s="357"/>
    </row>
    <row r="20" spans="1:18" ht="15" customHeight="1">
      <c r="A20" s="356" t="s">
        <v>366</v>
      </c>
      <c r="B20" s="494" t="e">
        <f>+B9+B18+B10</f>
        <v>#REF!</v>
      </c>
      <c r="C20" s="494" t="e">
        <f>+C9+C18+C10</f>
        <v>#REF!</v>
      </c>
      <c r="D20" s="494" t="e">
        <f t="shared" ref="D20:J20" si="4">+D9+D18+D10</f>
        <v>#REF!</v>
      </c>
      <c r="E20" s="494" t="e">
        <f t="shared" si="4"/>
        <v>#REF!</v>
      </c>
      <c r="F20" s="506"/>
      <c r="G20" s="494" t="e">
        <f t="shared" si="4"/>
        <v>#REF!</v>
      </c>
      <c r="H20" s="494" t="e">
        <f t="shared" si="4"/>
        <v>#REF!</v>
      </c>
      <c r="I20" s="494" t="e">
        <f t="shared" si="4"/>
        <v>#REF!</v>
      </c>
      <c r="J20" s="494" t="e">
        <f t="shared" si="4"/>
        <v>#REF!</v>
      </c>
      <c r="K20" s="357"/>
      <c r="L20" s="536"/>
      <c r="M20" s="536"/>
    </row>
    <row r="21" spans="1:18" ht="11.25" customHeight="1">
      <c r="B21" s="357"/>
      <c r="C21" s="357"/>
      <c r="D21" s="357"/>
      <c r="E21" s="357"/>
      <c r="F21" s="506"/>
      <c r="G21" s="357"/>
      <c r="H21" s="357"/>
      <c r="I21" s="357"/>
      <c r="J21" s="357"/>
      <c r="K21" s="357"/>
    </row>
    <row r="22" spans="1:18" s="515" customFormat="1" ht="8.25" customHeight="1">
      <c r="F22" s="506"/>
    </row>
    <row r="23" spans="1:18" ht="11.25" customHeight="1">
      <c r="F23" s="506"/>
    </row>
    <row r="24" spans="1:18" ht="15" customHeight="1">
      <c r="B24" s="884" t="s">
        <v>339</v>
      </c>
      <c r="C24" s="884"/>
      <c r="D24" s="884"/>
      <c r="E24" s="884"/>
      <c r="F24" s="506"/>
      <c r="G24" s="884" t="s">
        <v>340</v>
      </c>
      <c r="H24" s="884"/>
      <c r="I24" s="884"/>
      <c r="J24" s="884"/>
    </row>
    <row r="25" spans="1:18" ht="15" customHeight="1">
      <c r="A25" s="507"/>
      <c r="B25" s="516" t="s">
        <v>11</v>
      </c>
      <c r="C25" s="516" t="s">
        <v>12</v>
      </c>
      <c r="D25" s="516" t="s">
        <v>13</v>
      </c>
      <c r="E25" s="516" t="s">
        <v>14</v>
      </c>
      <c r="F25" s="506"/>
      <c r="G25" s="516" t="s">
        <v>11</v>
      </c>
      <c r="H25" s="516" t="s">
        <v>12</v>
      </c>
      <c r="I25" s="516" t="s">
        <v>13</v>
      </c>
      <c r="J25" s="516" t="s">
        <v>14</v>
      </c>
    </row>
    <row r="26" spans="1:18" ht="15" customHeight="1">
      <c r="A26" s="356" t="s">
        <v>353</v>
      </c>
      <c r="B26" s="357" t="e">
        <f>+#REF!</f>
        <v>#REF!</v>
      </c>
      <c r="C26" s="357" t="e">
        <f>+#REF!</f>
        <v>#REF!</v>
      </c>
      <c r="D26" s="357" t="e">
        <f>+#REF!</f>
        <v>#REF!</v>
      </c>
      <c r="E26" s="357" t="e">
        <f>+#REF!</f>
        <v>#REF!</v>
      </c>
      <c r="F26" s="357"/>
      <c r="G26" s="357" t="e">
        <f>+#REF!</f>
        <v>#REF!</v>
      </c>
      <c r="H26" s="357" t="e">
        <f>+#REF!</f>
        <v>#REF!</v>
      </c>
      <c r="I26" s="357" t="e">
        <f>+#REF!</f>
        <v>#REF!</v>
      </c>
      <c r="J26" s="357" t="e">
        <f>+#REF!</f>
        <v>#REF!</v>
      </c>
    </row>
    <row r="27" spans="1:18" ht="15" customHeight="1">
      <c r="B27" s="514"/>
      <c r="C27" s="514"/>
      <c r="D27" s="514"/>
      <c r="E27" s="514"/>
      <c r="F27" s="506"/>
      <c r="G27" s="514"/>
      <c r="H27" s="514"/>
      <c r="I27" s="514"/>
      <c r="J27" s="514"/>
      <c r="M27" s="514"/>
      <c r="N27" s="514"/>
      <c r="O27" s="514"/>
      <c r="P27" s="514"/>
      <c r="Q27" s="514"/>
      <c r="R27" s="514"/>
    </row>
    <row r="28" spans="1:18" ht="15" customHeight="1">
      <c r="A28" s="356" t="s">
        <v>364</v>
      </c>
      <c r="B28" s="357" t="e">
        <f>+#REF!*1000/#REF!/1000</f>
        <v>#REF!</v>
      </c>
      <c r="C28" s="357" t="e">
        <f>+#REF!*1000/#REF!/1000</f>
        <v>#REF!</v>
      </c>
      <c r="D28" s="357" t="e">
        <f>+#REF!*1000/#REF!/1000</f>
        <v>#REF!</v>
      </c>
      <c r="E28" s="357" t="e">
        <f>+#REF!*1000/#REF!/1000</f>
        <v>#REF!</v>
      </c>
      <c r="F28" s="506"/>
      <c r="G28" s="357" t="e">
        <f>+#REF!*1000/#REF!/1000</f>
        <v>#REF!</v>
      </c>
      <c r="H28" s="357" t="e">
        <f>+#REF!*1000/#REF!/1000</f>
        <v>#REF!</v>
      </c>
      <c r="I28" s="357" t="e">
        <f>+#REF!*1000/#REF!/1000</f>
        <v>#REF!</v>
      </c>
      <c r="J28" s="357" t="e">
        <f>+#REF!*1000/#REF!/1000</f>
        <v>#REF!</v>
      </c>
      <c r="M28" s="357"/>
      <c r="N28" s="357"/>
      <c r="O28" s="357"/>
      <c r="P28" s="357"/>
      <c r="Q28" s="357"/>
      <c r="R28" s="357"/>
    </row>
    <row r="29" spans="1:18" ht="15" customHeight="1">
      <c r="A29" s="356" t="s">
        <v>365</v>
      </c>
      <c r="B29" s="357" t="e">
        <f>+#REF!</f>
        <v>#REF!</v>
      </c>
      <c r="C29" s="357" t="e">
        <f>+#REF!</f>
        <v>#REF!</v>
      </c>
      <c r="D29" s="357" t="e">
        <f>+#REF!</f>
        <v>#REF!</v>
      </c>
      <c r="E29" s="357" t="e">
        <f>+#REF!</f>
        <v>#REF!</v>
      </c>
      <c r="F29" s="506"/>
      <c r="G29" s="357" t="e">
        <f>+#REF!</f>
        <v>#REF!</v>
      </c>
      <c r="H29" s="357" t="e">
        <f>+#REF!</f>
        <v>#REF!</v>
      </c>
      <c r="I29" s="357" t="e">
        <f>+#REF!</f>
        <v>#REF!</v>
      </c>
      <c r="J29" s="357" t="e">
        <f>+#REF!</f>
        <v>#REF!</v>
      </c>
    </row>
    <row r="30" spans="1:18" ht="15" customHeight="1">
      <c r="A30" s="517" t="s">
        <v>354</v>
      </c>
      <c r="B30" s="518">
        <v>0.3</v>
      </c>
      <c r="C30" s="518">
        <v>0.3</v>
      </c>
      <c r="D30" s="518">
        <v>0.3</v>
      </c>
      <c r="E30" s="518">
        <v>0.3</v>
      </c>
      <c r="F30" s="506"/>
      <c r="G30" s="518">
        <v>0.3</v>
      </c>
      <c r="H30" s="518">
        <v>0.3</v>
      </c>
      <c r="I30" s="518">
        <v>0.3</v>
      </c>
      <c r="J30" s="518">
        <v>0.3</v>
      </c>
    </row>
    <row r="31" spans="1:18" ht="9.75" customHeight="1">
      <c r="A31" s="507"/>
      <c r="F31" s="506"/>
    </row>
    <row r="32" spans="1:18" ht="15" customHeight="1">
      <c r="A32" s="356" t="s">
        <v>351</v>
      </c>
      <c r="B32" s="95">
        <v>0.2</v>
      </c>
      <c r="C32" s="95">
        <f t="shared" ref="C32:J36" si="5">+B32</f>
        <v>0.2</v>
      </c>
      <c r="D32" s="95">
        <f t="shared" si="5"/>
        <v>0.2</v>
      </c>
      <c r="E32" s="95">
        <f t="shared" si="5"/>
        <v>0.2</v>
      </c>
      <c r="F32" s="506"/>
      <c r="G32" s="95">
        <f>+E32</f>
        <v>0.2</v>
      </c>
      <c r="H32" s="95">
        <f t="shared" si="5"/>
        <v>0.2</v>
      </c>
      <c r="I32" s="95">
        <f t="shared" si="5"/>
        <v>0.2</v>
      </c>
      <c r="J32" s="95">
        <f t="shared" si="5"/>
        <v>0.2</v>
      </c>
    </row>
    <row r="33" spans="1:10" ht="15" customHeight="1">
      <c r="A33" s="356" t="s">
        <v>355</v>
      </c>
      <c r="B33" s="519">
        <v>2.5999999999999999E-3</v>
      </c>
      <c r="C33" s="519">
        <f>+B33</f>
        <v>2.5999999999999999E-3</v>
      </c>
      <c r="D33" s="519">
        <f t="shared" si="5"/>
        <v>2.5999999999999999E-3</v>
      </c>
      <c r="E33" s="519">
        <f t="shared" si="5"/>
        <v>2.5999999999999999E-3</v>
      </c>
      <c r="F33" s="506"/>
      <c r="G33" s="519">
        <f>+E33</f>
        <v>2.5999999999999999E-3</v>
      </c>
      <c r="H33" s="519">
        <f t="shared" si="5"/>
        <v>2.5999999999999999E-3</v>
      </c>
      <c r="I33" s="519">
        <f t="shared" si="5"/>
        <v>2.5999999999999999E-3</v>
      </c>
      <c r="J33" s="519">
        <f t="shared" si="5"/>
        <v>2.5999999999999999E-3</v>
      </c>
    </row>
    <row r="34" spans="1:10" ht="15" customHeight="1">
      <c r="A34" s="356" t="s">
        <v>356</v>
      </c>
      <c r="B34" s="519">
        <f>+B33</f>
        <v>2.5999999999999999E-3</v>
      </c>
      <c r="C34" s="519">
        <f>+B34</f>
        <v>2.5999999999999999E-3</v>
      </c>
      <c r="D34" s="519">
        <f t="shared" si="5"/>
        <v>2.5999999999999999E-3</v>
      </c>
      <c r="E34" s="519">
        <f t="shared" si="5"/>
        <v>2.5999999999999999E-3</v>
      </c>
      <c r="F34" s="506"/>
      <c r="G34" s="519">
        <f>+E34</f>
        <v>2.5999999999999999E-3</v>
      </c>
      <c r="H34" s="519">
        <f t="shared" si="5"/>
        <v>2.5999999999999999E-3</v>
      </c>
      <c r="I34" s="519">
        <f t="shared" si="5"/>
        <v>2.5999999999999999E-3</v>
      </c>
      <c r="J34" s="519">
        <f t="shared" si="5"/>
        <v>2.5999999999999999E-3</v>
      </c>
    </row>
    <row r="35" spans="1:10" ht="15" customHeight="1">
      <c r="A35" s="356" t="s">
        <v>357</v>
      </c>
      <c r="B35" s="520">
        <v>1</v>
      </c>
      <c r="C35" s="520">
        <f>+B35</f>
        <v>1</v>
      </c>
      <c r="D35" s="520">
        <f t="shared" si="5"/>
        <v>1</v>
      </c>
      <c r="E35" s="520">
        <f t="shared" si="5"/>
        <v>1</v>
      </c>
      <c r="F35" s="506"/>
      <c r="G35" s="520">
        <f>+E35</f>
        <v>1</v>
      </c>
      <c r="H35" s="520">
        <f t="shared" si="5"/>
        <v>1</v>
      </c>
      <c r="I35" s="520">
        <f t="shared" si="5"/>
        <v>1</v>
      </c>
      <c r="J35" s="520">
        <f t="shared" si="5"/>
        <v>1</v>
      </c>
    </row>
    <row r="36" spans="1:10" ht="15" customHeight="1">
      <c r="A36" s="356" t="s">
        <v>358</v>
      </c>
      <c r="B36" s="520">
        <v>1</v>
      </c>
      <c r="C36" s="520">
        <f>+B36</f>
        <v>1</v>
      </c>
      <c r="D36" s="520">
        <f t="shared" si="5"/>
        <v>1</v>
      </c>
      <c r="E36" s="520">
        <f t="shared" si="5"/>
        <v>1</v>
      </c>
      <c r="F36" s="506"/>
      <c r="G36" s="520">
        <f>+E36</f>
        <v>1</v>
      </c>
      <c r="H36" s="520">
        <f t="shared" si="5"/>
        <v>1</v>
      </c>
      <c r="I36" s="520">
        <f t="shared" si="5"/>
        <v>1</v>
      </c>
      <c r="J36" s="520">
        <f t="shared" si="5"/>
        <v>1</v>
      </c>
    </row>
    <row r="37" spans="1:10" ht="15" customHeight="1">
      <c r="A37" s="356" t="s">
        <v>359</v>
      </c>
      <c r="B37" s="521">
        <f>B34/B35*B36</f>
        <v>2.5999999999999999E-3</v>
      </c>
      <c r="C37" s="521">
        <f t="shared" ref="C37:J37" si="6">C34/C35*C36</f>
        <v>2.5999999999999999E-3</v>
      </c>
      <c r="D37" s="521">
        <f t="shared" si="6"/>
        <v>2.5999999999999999E-3</v>
      </c>
      <c r="E37" s="521">
        <f t="shared" si="6"/>
        <v>2.5999999999999999E-3</v>
      </c>
      <c r="F37" s="506"/>
      <c r="G37" s="521">
        <f t="shared" si="6"/>
        <v>2.5999999999999999E-3</v>
      </c>
      <c r="H37" s="521">
        <f t="shared" si="6"/>
        <v>2.5999999999999999E-3</v>
      </c>
      <c r="I37" s="521">
        <f t="shared" si="6"/>
        <v>2.5999999999999999E-3</v>
      </c>
      <c r="J37" s="521">
        <f t="shared" si="6"/>
        <v>2.5999999999999999E-3</v>
      </c>
    </row>
    <row r="38" spans="1:10" ht="15" customHeight="1">
      <c r="F38" s="506"/>
    </row>
    <row r="39" spans="1:10" ht="15" customHeight="1">
      <c r="F39" s="506"/>
    </row>
    <row r="40" spans="1:10" ht="15" customHeight="1">
      <c r="F40" s="506"/>
    </row>
    <row r="41" spans="1:10" ht="15" customHeight="1">
      <c r="F41" s="506"/>
    </row>
    <row r="42" spans="1:10" ht="15" customHeight="1">
      <c r="F42" s="506"/>
    </row>
    <row r="43" spans="1:10" ht="18.75">
      <c r="F43" s="506"/>
    </row>
    <row r="44" spans="1:10" ht="18.75">
      <c r="F44" s="506"/>
    </row>
    <row r="45" spans="1:10" ht="18.75">
      <c r="F45" s="506"/>
    </row>
    <row r="46" spans="1:10" ht="18.75">
      <c r="F46" s="506"/>
    </row>
  </sheetData>
  <mergeCells count="6">
    <mergeCell ref="B12:E12"/>
    <mergeCell ref="G12:J12"/>
    <mergeCell ref="B24:E24"/>
    <mergeCell ref="G24:J24"/>
    <mergeCell ref="B3:E3"/>
    <mergeCell ref="G3:J3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/>
  <dimension ref="A1:M20"/>
  <sheetViews>
    <sheetView workbookViewId="0">
      <selection activeCell="B8" sqref="B8"/>
    </sheetView>
  </sheetViews>
  <sheetFormatPr defaultRowHeight="12.75"/>
  <cols>
    <col min="1" max="1" width="16.85546875" customWidth="1"/>
  </cols>
  <sheetData>
    <row r="1" spans="1:13">
      <c r="E1" s="478" t="s">
        <v>409</v>
      </c>
    </row>
    <row r="3" spans="1:13">
      <c r="B3" s="2" t="s">
        <v>11</v>
      </c>
      <c r="C3" s="2" t="s">
        <v>12</v>
      </c>
      <c r="D3" s="2" t="s">
        <v>13</v>
      </c>
      <c r="E3" s="2" t="s">
        <v>14</v>
      </c>
      <c r="F3" s="2" t="s">
        <v>91</v>
      </c>
      <c r="H3" s="356"/>
      <c r="I3" s="2" t="s">
        <v>341</v>
      </c>
      <c r="J3" s="2" t="s">
        <v>342</v>
      </c>
      <c r="K3" s="2" t="s">
        <v>343</v>
      </c>
      <c r="L3" s="2" t="s">
        <v>344</v>
      </c>
      <c r="M3" s="2" t="s">
        <v>91</v>
      </c>
    </row>
    <row r="4" spans="1:13">
      <c r="A4" s="7" t="s">
        <v>9</v>
      </c>
      <c r="B4" s="307">
        <v>3.25</v>
      </c>
      <c r="C4" s="308">
        <f>+B4</f>
        <v>3.25</v>
      </c>
      <c r="D4" s="308">
        <v>3.3</v>
      </c>
      <c r="E4" s="308">
        <v>3.3</v>
      </c>
      <c r="F4" s="309">
        <f>AVERAGE(B4:E4)</f>
        <v>3.2750000000000004</v>
      </c>
      <c r="H4" s="359" t="s">
        <v>9</v>
      </c>
      <c r="I4" s="307">
        <v>3.35</v>
      </c>
      <c r="J4" s="308">
        <f>+I4</f>
        <v>3.35</v>
      </c>
      <c r="K4" s="308">
        <f>+J4</f>
        <v>3.35</v>
      </c>
      <c r="L4" s="308">
        <f>+K4</f>
        <v>3.35</v>
      </c>
      <c r="M4" s="309">
        <f>AVERAGE(I4:L4)</f>
        <v>3.35</v>
      </c>
    </row>
    <row r="5" spans="1:13">
      <c r="A5" t="s">
        <v>190</v>
      </c>
      <c r="B5" s="308">
        <v>1.2</v>
      </c>
      <c r="C5" s="308">
        <f t="shared" ref="C5:E5" si="0">+B5</f>
        <v>1.2</v>
      </c>
      <c r="D5" s="308">
        <f t="shared" si="0"/>
        <v>1.2</v>
      </c>
      <c r="E5" s="308">
        <f t="shared" si="0"/>
        <v>1.2</v>
      </c>
      <c r="F5" s="309">
        <f>AVERAGE(B5:E5)</f>
        <v>1.2</v>
      </c>
      <c r="H5" s="356" t="s">
        <v>190</v>
      </c>
      <c r="I5" s="308">
        <v>1.2</v>
      </c>
      <c r="J5" s="308">
        <f t="shared" ref="J5" si="1">+I5</f>
        <v>1.2</v>
      </c>
      <c r="K5" s="308">
        <f t="shared" ref="K5" si="2">+J5</f>
        <v>1.2</v>
      </c>
      <c r="L5" s="308">
        <f t="shared" ref="L5" si="3">+K5</f>
        <v>1.2</v>
      </c>
      <c r="M5" s="309">
        <f>AVERAGE(I5:L5)</f>
        <v>1.2</v>
      </c>
    </row>
    <row r="6" spans="1:13">
      <c r="B6" s="308"/>
      <c r="C6" s="308"/>
      <c r="D6" s="308"/>
      <c r="E6" s="308"/>
      <c r="F6" s="309"/>
    </row>
    <row r="7" spans="1:13">
      <c r="A7" t="s">
        <v>410</v>
      </c>
      <c r="B7" s="745" t="s">
        <v>479</v>
      </c>
    </row>
    <row r="8" spans="1:13">
      <c r="B8" s="38"/>
      <c r="C8" s="38"/>
      <c r="D8" s="38"/>
      <c r="E8" s="38"/>
    </row>
    <row r="9" spans="1:13">
      <c r="B9" s="38"/>
      <c r="C9" s="38"/>
      <c r="D9" s="38"/>
      <c r="E9" s="38"/>
    </row>
    <row r="11" spans="1:13">
      <c r="A11" s="214"/>
      <c r="B11" s="38"/>
      <c r="C11" s="38"/>
      <c r="D11" s="38"/>
      <c r="E11" s="38"/>
    </row>
    <row r="12" spans="1:13">
      <c r="A12" s="214"/>
      <c r="B12" s="38"/>
      <c r="C12" s="38"/>
      <c r="D12" s="38"/>
      <c r="E12" s="38"/>
    </row>
    <row r="14" spans="1:13">
      <c r="A14" s="214"/>
    </row>
    <row r="15" spans="1:13">
      <c r="A15" s="214"/>
    </row>
    <row r="16" spans="1:13">
      <c r="G16" s="356"/>
    </row>
    <row r="17" spans="7:7">
      <c r="G17" s="356"/>
    </row>
    <row r="18" spans="7:7">
      <c r="G18" s="356"/>
    </row>
    <row r="19" spans="7:7">
      <c r="G19" s="356"/>
    </row>
    <row r="20" spans="7:7">
      <c r="G20" s="35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&amp;L&amp;A&amp;C&amp;D&amp;R&amp;P from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rgb="FF002060"/>
  </sheetPr>
  <dimension ref="A1:H60"/>
  <sheetViews>
    <sheetView workbookViewId="0">
      <selection sqref="A1:H1"/>
    </sheetView>
  </sheetViews>
  <sheetFormatPr defaultRowHeight="12.75"/>
  <cols>
    <col min="1" max="1" width="36.85546875" bestFit="1" customWidth="1"/>
    <col min="2" max="2" width="5.140625" customWidth="1"/>
    <col min="3" max="3" width="10.28515625" bestFit="1" customWidth="1"/>
    <col min="6" max="6" width="10.42578125" customWidth="1"/>
    <col min="7" max="7" width="3.28515625" customWidth="1"/>
    <col min="8" max="8" width="10.85546875" customWidth="1"/>
  </cols>
  <sheetData>
    <row r="1" spans="1:8" ht="15.75">
      <c r="A1" s="888" t="s">
        <v>317</v>
      </c>
      <c r="B1" s="888"/>
      <c r="C1" s="888"/>
      <c r="D1" s="888"/>
      <c r="E1" s="888"/>
      <c r="F1" s="888"/>
      <c r="G1" s="888"/>
      <c r="H1" s="888"/>
    </row>
    <row r="2" spans="1:8" ht="15">
      <c r="A2" s="889" t="s">
        <v>163</v>
      </c>
      <c r="B2" s="889"/>
      <c r="C2" s="889"/>
      <c r="D2" s="889"/>
      <c r="E2" s="889"/>
      <c r="F2" s="889"/>
      <c r="G2" s="889"/>
      <c r="H2" s="889"/>
    </row>
    <row r="3" spans="1:8" ht="15">
      <c r="A3" s="222"/>
      <c r="B3" s="223"/>
      <c r="C3" s="223"/>
      <c r="D3" s="223"/>
      <c r="E3" s="223"/>
      <c r="F3" s="223"/>
      <c r="H3" s="223"/>
    </row>
    <row r="4" spans="1:8" ht="15">
      <c r="C4" s="885">
        <v>2015</v>
      </c>
      <c r="D4" s="886"/>
      <c r="E4" s="886"/>
      <c r="F4" s="887"/>
      <c r="H4" s="224" t="s">
        <v>23</v>
      </c>
    </row>
    <row r="5" spans="1:8" ht="17.25">
      <c r="B5" s="225"/>
      <c r="C5" s="239" t="s">
        <v>11</v>
      </c>
      <c r="D5" s="239" t="s">
        <v>12</v>
      </c>
      <c r="E5" s="239" t="s">
        <v>13</v>
      </c>
      <c r="F5" s="239" t="s">
        <v>14</v>
      </c>
      <c r="H5" s="225"/>
    </row>
    <row r="6" spans="1:8" ht="15">
      <c r="A6" s="229" t="s">
        <v>164</v>
      </c>
      <c r="B6" s="5"/>
      <c r="C6" s="5"/>
      <c r="D6" s="5"/>
      <c r="E6" s="5"/>
      <c r="F6" s="5"/>
      <c r="H6" s="5"/>
    </row>
    <row r="7" spans="1:8">
      <c r="A7" t="s">
        <v>178</v>
      </c>
      <c r="B7" s="212"/>
      <c r="C7" s="212"/>
      <c r="D7" s="212"/>
      <c r="E7" s="212"/>
      <c r="F7" s="212"/>
      <c r="H7" s="212">
        <f>+C7</f>
        <v>0</v>
      </c>
    </row>
    <row r="8" spans="1:8">
      <c r="B8" s="212"/>
      <c r="C8" s="212"/>
      <c r="D8" s="212"/>
      <c r="E8" s="212"/>
      <c r="F8" s="212"/>
      <c r="H8" s="212">
        <f>+C8</f>
        <v>0</v>
      </c>
    </row>
    <row r="9" spans="1:8">
      <c r="B9" s="212"/>
      <c r="C9" s="212"/>
      <c r="D9" s="212"/>
      <c r="E9" s="212"/>
      <c r="F9" s="212"/>
      <c r="H9" s="212">
        <f>+C9</f>
        <v>0</v>
      </c>
    </row>
    <row r="10" spans="1:8">
      <c r="B10" s="212"/>
      <c r="C10" s="212"/>
      <c r="D10" s="212"/>
      <c r="E10" s="212"/>
      <c r="F10" s="212"/>
      <c r="H10" s="212">
        <f>+C10</f>
        <v>0</v>
      </c>
    </row>
    <row r="11" spans="1:8">
      <c r="B11" s="212"/>
      <c r="C11" s="212"/>
      <c r="D11" s="212"/>
      <c r="E11" s="212"/>
      <c r="F11" s="212"/>
      <c r="H11" s="212">
        <f>+C11</f>
        <v>0</v>
      </c>
    </row>
    <row r="12" spans="1:8">
      <c r="A12" t="s">
        <v>179</v>
      </c>
      <c r="B12" s="212"/>
      <c r="C12" s="226"/>
      <c r="D12" s="226"/>
      <c r="E12" s="226"/>
      <c r="F12" s="226"/>
      <c r="H12" s="226">
        <f>SUM(C12:F12)</f>
        <v>0</v>
      </c>
    </row>
    <row r="13" spans="1:8" ht="15">
      <c r="A13" s="227" t="s">
        <v>165</v>
      </c>
      <c r="B13" s="212"/>
      <c r="C13" s="228">
        <f>SUM(C7:C12)</f>
        <v>0</v>
      </c>
      <c r="D13" s="228">
        <f>SUM(D7:D12)</f>
        <v>0</v>
      </c>
      <c r="E13" s="228">
        <f>SUM(E7:E12)</f>
        <v>0</v>
      </c>
      <c r="F13" s="228">
        <f>SUM(F7:F12)</f>
        <v>0</v>
      </c>
      <c r="H13" s="228">
        <f>SUM(H7:H12)</f>
        <v>0</v>
      </c>
    </row>
    <row r="14" spans="1:8">
      <c r="B14" s="212"/>
      <c r="C14" s="212"/>
      <c r="D14" s="212"/>
      <c r="E14" s="212"/>
      <c r="F14" s="212"/>
      <c r="H14" s="212"/>
    </row>
    <row r="15" spans="1:8" ht="15">
      <c r="A15" s="229" t="s">
        <v>166</v>
      </c>
      <c r="B15" s="212"/>
      <c r="C15" s="230"/>
      <c r="D15" s="230"/>
      <c r="E15" s="230"/>
      <c r="F15" s="230"/>
      <c r="H15" s="230"/>
    </row>
    <row r="16" spans="1:8">
      <c r="A16" t="s">
        <v>167</v>
      </c>
      <c r="B16" s="212"/>
      <c r="C16" s="211"/>
      <c r="D16" s="211"/>
      <c r="E16" s="211"/>
      <c r="F16" s="211"/>
      <c r="G16" s="211"/>
      <c r="H16" s="212">
        <f>SUM(C16:G16)</f>
        <v>0</v>
      </c>
    </row>
    <row r="17" spans="1:8">
      <c r="A17" t="s">
        <v>191</v>
      </c>
      <c r="B17" s="212"/>
      <c r="C17" s="211"/>
      <c r="D17" s="211"/>
      <c r="E17" s="211"/>
      <c r="F17" s="211"/>
      <c r="G17" s="211"/>
      <c r="H17" s="212">
        <f>SUM(C17:G17)</f>
        <v>0</v>
      </c>
    </row>
    <row r="18" spans="1:8">
      <c r="A18" t="s">
        <v>180</v>
      </c>
      <c r="B18" s="212"/>
      <c r="C18" s="211"/>
      <c r="D18" s="211"/>
      <c r="E18" s="211"/>
      <c r="F18" s="211"/>
      <c r="G18" s="211"/>
      <c r="H18" s="212">
        <f>SUM(C18:G18)</f>
        <v>0</v>
      </c>
    </row>
    <row r="19" spans="1:8" ht="15">
      <c r="B19" s="212"/>
      <c r="C19" s="231">
        <f>SUM(C16:C18)</f>
        <v>0</v>
      </c>
      <c r="D19" s="231">
        <f>SUM(D16:D18)</f>
        <v>0</v>
      </c>
      <c r="E19" s="231">
        <f>SUM(E16:E18)</f>
        <v>0</v>
      </c>
      <c r="F19" s="231">
        <f>SUM(F16:F18)</f>
        <v>0</v>
      </c>
      <c r="H19" s="298">
        <f>SUM(H16:H18)</f>
        <v>0</v>
      </c>
    </row>
    <row r="20" spans="1:8" ht="15">
      <c r="B20" s="212"/>
      <c r="C20" s="232"/>
      <c r="D20" s="232"/>
      <c r="E20" s="232"/>
      <c r="F20" s="232"/>
      <c r="H20" s="232"/>
    </row>
    <row r="21" spans="1:8" ht="15">
      <c r="A21" s="229" t="s">
        <v>5</v>
      </c>
      <c r="B21" s="212"/>
      <c r="C21" s="212"/>
      <c r="D21" s="212"/>
      <c r="E21" s="212"/>
      <c r="F21" s="212"/>
      <c r="H21" s="212">
        <f>+C21</f>
        <v>0</v>
      </c>
    </row>
    <row r="22" spans="1:8" ht="15">
      <c r="A22" s="233" t="s">
        <v>64</v>
      </c>
      <c r="B22" s="212"/>
      <c r="C22" s="212"/>
      <c r="D22" s="212"/>
      <c r="E22" s="212"/>
      <c r="F22" s="212"/>
      <c r="H22" s="212">
        <f>+C22</f>
        <v>0</v>
      </c>
    </row>
    <row r="23" spans="1:8">
      <c r="A23" t="s">
        <v>162</v>
      </c>
      <c r="B23" s="212"/>
      <c r="C23" s="212"/>
      <c r="D23" s="212"/>
      <c r="E23" s="212"/>
      <c r="F23" s="212"/>
      <c r="H23" s="212">
        <f>SUM(C23:G23)</f>
        <v>0</v>
      </c>
    </row>
    <row r="24" spans="1:8">
      <c r="B24" s="212"/>
      <c r="C24" s="234">
        <f>SUM(C23:C23)</f>
        <v>0</v>
      </c>
      <c r="D24" s="234">
        <f>SUM(D23:D23)</f>
        <v>0</v>
      </c>
      <c r="E24" s="234">
        <f>SUM(E23:E23)</f>
        <v>0</v>
      </c>
      <c r="F24" s="234">
        <f>SUM(F23:F23)</f>
        <v>0</v>
      </c>
      <c r="H24" s="234">
        <f>SUM(C24:F24)</f>
        <v>0</v>
      </c>
    </row>
    <row r="25" spans="1:8" ht="15">
      <c r="A25" s="233" t="s">
        <v>169</v>
      </c>
      <c r="B25" s="212"/>
      <c r="C25" s="212"/>
      <c r="D25" s="212"/>
      <c r="E25" s="212"/>
      <c r="F25" s="212"/>
      <c r="H25" s="212"/>
    </row>
    <row r="26" spans="1:8">
      <c r="A26" t="s">
        <v>175</v>
      </c>
      <c r="B26" s="212"/>
      <c r="C26" s="212"/>
      <c r="D26" s="212"/>
      <c r="E26" s="212"/>
      <c r="F26" s="212"/>
      <c r="H26" s="212">
        <f t="shared" ref="H26:H33" si="0">SUM(C26:G26)</f>
        <v>0</v>
      </c>
    </row>
    <row r="27" spans="1:8">
      <c r="A27" t="s">
        <v>32</v>
      </c>
      <c r="B27" s="212"/>
      <c r="C27" s="212"/>
      <c r="D27" s="212"/>
      <c r="E27" s="212"/>
      <c r="F27" s="212"/>
      <c r="H27" s="212">
        <f t="shared" si="0"/>
        <v>0</v>
      </c>
    </row>
    <row r="28" spans="1:8">
      <c r="A28" t="s">
        <v>176</v>
      </c>
      <c r="B28" s="212"/>
      <c r="C28" s="212"/>
      <c r="D28" s="212"/>
      <c r="E28" s="212"/>
      <c r="F28" s="212"/>
      <c r="H28" s="212">
        <f t="shared" si="0"/>
        <v>0</v>
      </c>
    </row>
    <row r="29" spans="1:8">
      <c r="A29" t="s">
        <v>67</v>
      </c>
      <c r="B29" s="212"/>
      <c r="C29" s="212"/>
      <c r="D29" s="212"/>
      <c r="E29" s="212"/>
      <c r="F29" s="212"/>
      <c r="H29" s="212">
        <f t="shared" si="0"/>
        <v>0</v>
      </c>
    </row>
    <row r="30" spans="1:8">
      <c r="A30" t="s">
        <v>181</v>
      </c>
      <c r="C30" s="6"/>
      <c r="D30" s="6"/>
      <c r="E30" s="6"/>
      <c r="F30" s="6"/>
      <c r="H30" s="212">
        <f t="shared" si="0"/>
        <v>0</v>
      </c>
    </row>
    <row r="31" spans="1:8">
      <c r="A31" t="s">
        <v>183</v>
      </c>
      <c r="C31" s="6"/>
      <c r="D31" s="6"/>
      <c r="E31" s="6"/>
      <c r="F31" s="6"/>
      <c r="H31" s="212">
        <f t="shared" si="0"/>
        <v>0</v>
      </c>
    </row>
    <row r="32" spans="1:8">
      <c r="A32" t="s">
        <v>184</v>
      </c>
      <c r="C32" s="6"/>
      <c r="D32" s="6"/>
      <c r="E32" s="6"/>
      <c r="F32" s="6"/>
      <c r="H32" s="212">
        <f t="shared" si="0"/>
        <v>0</v>
      </c>
    </row>
    <row r="33" spans="1:8">
      <c r="A33" t="s">
        <v>172</v>
      </c>
      <c r="B33" s="212"/>
      <c r="C33" s="226"/>
      <c r="D33" s="226"/>
      <c r="E33" s="226"/>
      <c r="F33" s="226"/>
      <c r="H33" s="226">
        <f t="shared" si="0"/>
        <v>0</v>
      </c>
    </row>
    <row r="34" spans="1:8">
      <c r="B34" s="212"/>
      <c r="C34" s="234">
        <f>SUM(C26:C33)</f>
        <v>0</v>
      </c>
      <c r="D34" s="234">
        <f>SUM(D26:D33)</f>
        <v>0</v>
      </c>
      <c r="E34" s="234">
        <f>SUM(E26:E33)</f>
        <v>0</v>
      </c>
      <c r="F34" s="234">
        <f>SUM(F26:F33)</f>
        <v>0</v>
      </c>
      <c r="H34" s="234">
        <f>SUM(C34:F34)</f>
        <v>0</v>
      </c>
    </row>
    <row r="35" spans="1:8">
      <c r="B35" s="212"/>
      <c r="C35" s="212"/>
      <c r="D35" s="212"/>
      <c r="E35" s="212"/>
      <c r="F35" s="212"/>
      <c r="G35" s="212"/>
      <c r="H35" s="212"/>
    </row>
    <row r="36" spans="1:8" ht="15">
      <c r="A36" s="233" t="s">
        <v>170</v>
      </c>
      <c r="B36" s="212"/>
      <c r="C36" s="212"/>
      <c r="D36" s="212"/>
      <c r="E36" s="212"/>
      <c r="F36" s="212"/>
      <c r="H36" s="212"/>
    </row>
    <row r="37" spans="1:8" ht="15">
      <c r="A37" s="235" t="s">
        <v>171</v>
      </c>
      <c r="B37" s="212"/>
      <c r="C37" s="212"/>
      <c r="D37" s="212"/>
      <c r="E37" s="212"/>
      <c r="F37" s="212"/>
      <c r="H37" s="212">
        <f>SUM(C37:G37)</f>
        <v>0</v>
      </c>
    </row>
    <row r="38" spans="1:8" ht="15">
      <c r="A38" s="235" t="s">
        <v>177</v>
      </c>
      <c r="B38" s="212"/>
      <c r="C38" s="212"/>
      <c r="D38" s="212"/>
      <c r="E38" s="212"/>
      <c r="F38" s="212"/>
      <c r="H38" s="212">
        <f>SUM(C38:G38)</f>
        <v>0</v>
      </c>
    </row>
    <row r="39" spans="1:8" ht="15">
      <c r="A39" s="235" t="s">
        <v>4</v>
      </c>
      <c r="B39" s="212"/>
      <c r="C39" s="226"/>
      <c r="D39" s="226"/>
      <c r="E39" s="226"/>
      <c r="F39" s="226"/>
      <c r="H39" s="226"/>
    </row>
    <row r="40" spans="1:8">
      <c r="B40" s="212"/>
      <c r="C40" s="234">
        <f>SUM(C37:C39)</f>
        <v>0</v>
      </c>
      <c r="D40" s="234">
        <f>SUM(D37:D39)</f>
        <v>0</v>
      </c>
      <c r="E40" s="234">
        <f>SUM(E37:E39)</f>
        <v>0</v>
      </c>
      <c r="F40" s="234">
        <f>SUM(F37:F39)</f>
        <v>0</v>
      </c>
      <c r="H40" s="234">
        <f>SUM(C40:F40)</f>
        <v>0</v>
      </c>
    </row>
    <row r="41" spans="1:8">
      <c r="B41" s="212"/>
      <c r="C41" s="212"/>
      <c r="D41" s="212"/>
      <c r="E41" s="212"/>
      <c r="F41" s="212"/>
      <c r="H41" s="212"/>
    </row>
    <row r="42" spans="1:8">
      <c r="B42" s="212"/>
      <c r="C42" s="226"/>
      <c r="D42" s="226"/>
      <c r="E42" s="226"/>
      <c r="F42" s="226"/>
      <c r="H42" s="226"/>
    </row>
    <row r="43" spans="1:8" ht="15">
      <c r="A43" s="227" t="s">
        <v>173</v>
      </c>
      <c r="B43" s="212"/>
      <c r="C43" s="236">
        <f>+C40+C34+C24</f>
        <v>0</v>
      </c>
      <c r="D43" s="236">
        <f>+D40+D34+D24</f>
        <v>0</v>
      </c>
      <c r="E43" s="236">
        <f>+E40+E34+E24</f>
        <v>0</v>
      </c>
      <c r="F43" s="236">
        <f>+F40+F34+F24</f>
        <v>0</v>
      </c>
      <c r="H43" s="236">
        <f>SUM(C43:F43)</f>
        <v>0</v>
      </c>
    </row>
    <row r="44" spans="1:8">
      <c r="B44" s="212"/>
      <c r="C44" s="118"/>
      <c r="D44" s="118"/>
      <c r="E44" s="118"/>
      <c r="F44" s="118"/>
      <c r="H44" s="118"/>
    </row>
    <row r="45" spans="1:8" ht="15.75" thickBot="1">
      <c r="A45" s="227" t="s">
        <v>168</v>
      </c>
      <c r="B45" s="212"/>
      <c r="C45" s="237">
        <f>+C13+C19-C43</f>
        <v>0</v>
      </c>
      <c r="D45" s="237">
        <f>+D13+D19-D43</f>
        <v>0</v>
      </c>
      <c r="E45" s="237">
        <f>+E13+E19-E43</f>
        <v>0</v>
      </c>
      <c r="F45" s="237">
        <f>+F13+F19-F43</f>
        <v>0</v>
      </c>
      <c r="H45" s="237">
        <f>+H13+H19-H43</f>
        <v>0</v>
      </c>
    </row>
    <row r="46" spans="1:8" ht="13.5" thickTop="1"/>
    <row r="51" spans="8:8">
      <c r="H51" t="s">
        <v>23</v>
      </c>
    </row>
    <row r="52" spans="8:8">
      <c r="H52" s="264" t="e">
        <f>+#REF!+#REF!</f>
        <v>#REF!</v>
      </c>
    </row>
    <row r="53" spans="8:8">
      <c r="H53" s="264" t="e">
        <f>+#REF!+#REF!</f>
        <v>#REF!</v>
      </c>
    </row>
    <row r="54" spans="8:8">
      <c r="H54" s="264" t="e">
        <f>+#REF!+#REF!</f>
        <v>#REF!</v>
      </c>
    </row>
    <row r="55" spans="8:8">
      <c r="H55" s="264" t="e">
        <f>+#REF!+#REF!</f>
        <v>#REF!</v>
      </c>
    </row>
    <row r="56" spans="8:8">
      <c r="H56" s="264"/>
    </row>
    <row r="57" spans="8:8">
      <c r="H57" s="5" t="e">
        <f>+#REF!+#REF!</f>
        <v>#REF!</v>
      </c>
    </row>
    <row r="58" spans="8:8">
      <c r="H58" s="5" t="e">
        <f>+#REF!+#REF!</f>
        <v>#REF!</v>
      </c>
    </row>
    <row r="59" spans="8:8">
      <c r="H59" s="6" t="e">
        <f>+#REF!+#REF!+#REF!</f>
        <v>#REF!</v>
      </c>
    </row>
    <row r="60" spans="8:8">
      <c r="H60" s="6" t="e">
        <f>+H58-H59</f>
        <v>#REF!</v>
      </c>
    </row>
  </sheetData>
  <mergeCells count="3">
    <mergeCell ref="C4:F4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&amp;L&amp;A&amp;C&amp;D&amp;R&amp;P from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theme="7" tint="0.39997558519241921"/>
  </sheetPr>
  <dimension ref="A1:AL43"/>
  <sheetViews>
    <sheetView workbookViewId="0">
      <selection sqref="A1:P1"/>
    </sheetView>
  </sheetViews>
  <sheetFormatPr defaultRowHeight="12.75"/>
  <cols>
    <col min="1" max="1" width="25.7109375" customWidth="1"/>
    <col min="2" max="2" width="3.85546875" customWidth="1"/>
    <col min="4" max="4" width="10.42578125" customWidth="1"/>
    <col min="5" max="5" width="6.42578125" customWidth="1"/>
    <col min="6" max="6" width="10.42578125" hidden="1" customWidth="1"/>
    <col min="7" max="7" width="10.5703125" hidden="1" customWidth="1"/>
    <col min="17" max="17" width="12.85546875" bestFit="1" customWidth="1"/>
    <col min="19" max="19" width="10.42578125" customWidth="1"/>
  </cols>
  <sheetData>
    <row r="1" spans="1:38">
      <c r="A1" s="890" t="s">
        <v>182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266"/>
    </row>
    <row r="2" spans="1:38" ht="15">
      <c r="A2" s="889" t="s">
        <v>163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265"/>
      <c r="V2">
        <f>4446*1.17</f>
        <v>5201.82</v>
      </c>
    </row>
    <row r="3" spans="1:38" ht="13.5" thickBot="1"/>
    <row r="4" spans="1:38" s="28" customFormat="1" ht="39" thickBot="1">
      <c r="B4" s="32"/>
      <c r="C4" s="246" t="s">
        <v>27</v>
      </c>
      <c r="D4" s="247" t="s">
        <v>30</v>
      </c>
      <c r="E4" s="247" t="s">
        <v>20</v>
      </c>
      <c r="F4" s="35" t="s">
        <v>25</v>
      </c>
      <c r="G4" s="36" t="s">
        <v>26</v>
      </c>
      <c r="H4" s="894">
        <v>2012</v>
      </c>
      <c r="I4" s="895"/>
      <c r="J4" s="895"/>
      <c r="K4" s="895"/>
      <c r="L4" s="895"/>
      <c r="M4" s="895"/>
      <c r="N4" s="895"/>
      <c r="O4" s="896"/>
      <c r="Q4" s="28">
        <f>+P15/421.2</f>
        <v>12.37948717948718</v>
      </c>
    </row>
    <row r="5" spans="1:38" s="28" customFormat="1" ht="13.5" thickBot="1">
      <c r="C5" s="248"/>
      <c r="D5" s="249"/>
      <c r="E5" s="250"/>
      <c r="H5" s="897" t="s">
        <v>11</v>
      </c>
      <c r="I5" s="898"/>
      <c r="J5" s="899" t="s">
        <v>12</v>
      </c>
      <c r="K5" s="900"/>
      <c r="L5" s="897" t="s">
        <v>13</v>
      </c>
      <c r="M5" s="898"/>
      <c r="N5" s="899" t="s">
        <v>14</v>
      </c>
      <c r="O5" s="900"/>
      <c r="P5" s="54" t="s">
        <v>23</v>
      </c>
      <c r="Q5" s="267"/>
      <c r="S5" s="891" t="s">
        <v>11</v>
      </c>
      <c r="T5" s="892"/>
      <c r="U5" s="892"/>
      <c r="V5" s="892"/>
      <c r="W5" s="893"/>
      <c r="X5" s="891" t="s">
        <v>12</v>
      </c>
      <c r="Y5" s="892"/>
      <c r="Z5" s="892"/>
      <c r="AA5" s="892"/>
      <c r="AB5" s="893"/>
      <c r="AC5" s="891" t="s">
        <v>13</v>
      </c>
      <c r="AD5" s="892"/>
      <c r="AE5" s="892"/>
      <c r="AF5" s="892"/>
      <c r="AG5" s="893"/>
      <c r="AH5" s="892" t="s">
        <v>14</v>
      </c>
      <c r="AI5" s="892"/>
      <c r="AJ5" s="892"/>
      <c r="AK5" s="892"/>
      <c r="AL5" s="893"/>
    </row>
    <row r="6" spans="1:38" s="28" customFormat="1" ht="13.5" thickBot="1">
      <c r="C6" s="251"/>
      <c r="D6" s="252"/>
      <c r="E6" s="253"/>
      <c r="H6" s="29" t="s">
        <v>16</v>
      </c>
      <c r="I6" s="29" t="s">
        <v>15</v>
      </c>
      <c r="J6" s="30" t="s">
        <v>16</v>
      </c>
      <c r="K6" s="30" t="s">
        <v>15</v>
      </c>
      <c r="L6" s="29" t="s">
        <v>16</v>
      </c>
      <c r="M6" s="29" t="s">
        <v>15</v>
      </c>
      <c r="N6" s="30" t="s">
        <v>16</v>
      </c>
      <c r="O6" s="30" t="s">
        <v>15</v>
      </c>
      <c r="P6" s="48" t="s">
        <v>24</v>
      </c>
      <c r="Q6" s="252"/>
      <c r="S6" s="107" t="s">
        <v>82</v>
      </c>
      <c r="T6" s="106" t="s">
        <v>79</v>
      </c>
      <c r="U6" s="106" t="s">
        <v>185</v>
      </c>
      <c r="V6" s="106" t="s">
        <v>80</v>
      </c>
      <c r="W6" s="108" t="s">
        <v>81</v>
      </c>
      <c r="X6" s="107" t="s">
        <v>82</v>
      </c>
      <c r="Y6" s="106" t="s">
        <v>79</v>
      </c>
      <c r="Z6" s="106" t="s">
        <v>185</v>
      </c>
      <c r="AA6" s="106" t="s">
        <v>80</v>
      </c>
      <c r="AB6" s="108" t="s">
        <v>81</v>
      </c>
      <c r="AC6" s="107" t="s">
        <v>82</v>
      </c>
      <c r="AD6" s="106" t="s">
        <v>79</v>
      </c>
      <c r="AE6" s="106"/>
      <c r="AF6" s="106" t="s">
        <v>80</v>
      </c>
      <c r="AG6" s="108" t="s">
        <v>81</v>
      </c>
      <c r="AH6" s="102" t="s">
        <v>82</v>
      </c>
      <c r="AI6" s="106" t="s">
        <v>79</v>
      </c>
      <c r="AJ6" s="106"/>
      <c r="AK6" s="106" t="s">
        <v>80</v>
      </c>
      <c r="AL6" s="108" t="s">
        <v>81</v>
      </c>
    </row>
    <row r="7" spans="1:38" ht="13.5" thickBot="1">
      <c r="C7" s="243"/>
      <c r="D7" s="26"/>
      <c r="E7" s="40"/>
      <c r="H7" s="39"/>
      <c r="I7" s="40"/>
      <c r="J7" s="39"/>
      <c r="K7" s="40"/>
      <c r="L7" s="39"/>
      <c r="M7" s="40"/>
      <c r="N7" s="39"/>
      <c r="O7" s="40"/>
      <c r="P7" s="40"/>
      <c r="Q7" s="26"/>
      <c r="S7" s="64"/>
      <c r="T7" s="26"/>
      <c r="U7" s="26"/>
      <c r="V7" s="26"/>
      <c r="W7" s="65"/>
      <c r="X7" s="64"/>
      <c r="Y7" s="26"/>
      <c r="Z7" s="26"/>
      <c r="AA7" s="26"/>
      <c r="AB7" s="65"/>
      <c r="AC7" s="64"/>
      <c r="AD7" s="26"/>
      <c r="AE7" s="26"/>
      <c r="AF7" s="26"/>
      <c r="AG7" s="65"/>
      <c r="AH7" s="26"/>
      <c r="AI7" s="26"/>
      <c r="AJ7" s="26"/>
      <c r="AK7" s="26"/>
      <c r="AL7" s="65"/>
    </row>
    <row r="8" spans="1:38" ht="13.5" thickBot="1">
      <c r="A8" s="31" t="s">
        <v>17</v>
      </c>
      <c r="C8" s="257"/>
      <c r="D8" s="258">
        <v>8.6</v>
      </c>
      <c r="E8" s="259"/>
      <c r="H8" s="44">
        <f>+W8</f>
        <v>18</v>
      </c>
      <c r="I8" s="45">
        <f>+H8*$D8*3</f>
        <v>464.4</v>
      </c>
      <c r="J8" s="44">
        <f>+AB8</f>
        <v>19</v>
      </c>
      <c r="K8" s="45">
        <f>+J8*$D8*3</f>
        <v>490.20000000000005</v>
      </c>
      <c r="L8" s="44">
        <f>+AG8</f>
        <v>20</v>
      </c>
      <c r="M8" s="45">
        <f>+L8*$D8*3</f>
        <v>516</v>
      </c>
      <c r="N8" s="44">
        <f>+AL8</f>
        <v>21</v>
      </c>
      <c r="O8" s="45">
        <f>+N8*$D8*3</f>
        <v>541.79999999999995</v>
      </c>
      <c r="P8" s="55">
        <f>+O8+M8+K8+I8</f>
        <v>2012.4</v>
      </c>
      <c r="Q8" s="270">
        <f>+P8/$P$28</f>
        <v>0.12296644636502289</v>
      </c>
      <c r="R8" s="114">
        <f>+I8/3</f>
        <v>154.79999999999998</v>
      </c>
      <c r="S8" s="109">
        <v>17</v>
      </c>
      <c r="T8" s="69">
        <v>2</v>
      </c>
      <c r="U8" s="69"/>
      <c r="V8" s="69">
        <v>1</v>
      </c>
      <c r="W8" s="88">
        <f>+S8+T8-V8</f>
        <v>18</v>
      </c>
      <c r="X8" s="109">
        <f>+W8</f>
        <v>18</v>
      </c>
      <c r="Y8" s="110">
        <v>2</v>
      </c>
      <c r="Z8" s="110"/>
      <c r="AA8" s="110">
        <v>1</v>
      </c>
      <c r="AB8" s="88">
        <f>+X8+Y8-AA8</f>
        <v>19</v>
      </c>
      <c r="AC8" s="109">
        <f>+AB8</f>
        <v>19</v>
      </c>
      <c r="AD8" s="69">
        <v>2</v>
      </c>
      <c r="AE8" s="69"/>
      <c r="AF8" s="110">
        <v>1</v>
      </c>
      <c r="AG8" s="88">
        <f>+AC8+AD8-AF8</f>
        <v>20</v>
      </c>
      <c r="AH8" s="110">
        <f>+AG8</f>
        <v>20</v>
      </c>
      <c r="AI8" s="69">
        <v>2</v>
      </c>
      <c r="AJ8" s="69"/>
      <c r="AK8" s="110">
        <v>1</v>
      </c>
      <c r="AL8" s="88">
        <f>+AH8+AI8-AK8</f>
        <v>21</v>
      </c>
    </row>
    <row r="9" spans="1:38" ht="13.5" thickBot="1">
      <c r="C9" s="243"/>
      <c r="D9" s="26"/>
      <c r="E9" s="40"/>
      <c r="H9" s="46"/>
      <c r="I9" s="41"/>
      <c r="J9" s="46"/>
      <c r="K9" s="41"/>
      <c r="L9" s="46"/>
      <c r="M9" s="41"/>
      <c r="N9" s="46"/>
      <c r="O9" s="41"/>
      <c r="P9" s="40"/>
      <c r="Q9" s="26"/>
    </row>
    <row r="10" spans="1:38">
      <c r="A10" s="31" t="s">
        <v>18</v>
      </c>
      <c r="C10" s="243"/>
      <c r="D10" s="26"/>
      <c r="E10" s="40"/>
      <c r="H10" s="46"/>
      <c r="I10" s="41"/>
      <c r="J10" s="46"/>
      <c r="K10" s="41"/>
      <c r="L10" s="46"/>
      <c r="M10" s="41"/>
      <c r="N10" s="46"/>
      <c r="O10" s="41"/>
      <c r="P10" s="40"/>
      <c r="Q10" s="26"/>
      <c r="S10" s="103" t="s">
        <v>82</v>
      </c>
      <c r="T10" s="104" t="s">
        <v>79</v>
      </c>
      <c r="U10" s="106" t="s">
        <v>185</v>
      </c>
      <c r="V10" s="104" t="s">
        <v>80</v>
      </c>
      <c r="W10" s="105" t="s">
        <v>81</v>
      </c>
      <c r="X10" s="103" t="s">
        <v>82</v>
      </c>
      <c r="Y10" s="104" t="s">
        <v>79</v>
      </c>
      <c r="Z10" s="106" t="s">
        <v>185</v>
      </c>
      <c r="AA10" s="104" t="s">
        <v>80</v>
      </c>
      <c r="AB10" s="105" t="s">
        <v>81</v>
      </c>
      <c r="AC10" s="103" t="s">
        <v>82</v>
      </c>
      <c r="AD10" s="104" t="s">
        <v>79</v>
      </c>
      <c r="AE10" s="106" t="s">
        <v>185</v>
      </c>
      <c r="AF10" s="104" t="s">
        <v>80</v>
      </c>
      <c r="AG10" s="105" t="s">
        <v>81</v>
      </c>
      <c r="AH10" s="111" t="s">
        <v>82</v>
      </c>
      <c r="AI10" s="104" t="s">
        <v>79</v>
      </c>
      <c r="AJ10" s="106" t="s">
        <v>185</v>
      </c>
      <c r="AK10" s="104" t="s">
        <v>80</v>
      </c>
      <c r="AL10" s="105" t="s">
        <v>81</v>
      </c>
    </row>
    <row r="11" spans="1:38" ht="13.5" thickBot="1">
      <c r="A11" t="s">
        <v>84</v>
      </c>
      <c r="C11" s="243">
        <v>0.1</v>
      </c>
      <c r="D11" s="26">
        <v>15</v>
      </c>
      <c r="E11" s="245">
        <v>0.44</v>
      </c>
      <c r="H11" s="46">
        <f>+W11</f>
        <v>15</v>
      </c>
      <c r="I11" s="41">
        <f>+$D11*$C11*H11*(1+$E11)*3</f>
        <v>97.199999999999989</v>
      </c>
      <c r="J11" s="46">
        <f>+AB11</f>
        <v>18</v>
      </c>
      <c r="K11" s="41">
        <f>+$D11*$C11*J11*(1+$E11)*3</f>
        <v>116.63999999999999</v>
      </c>
      <c r="L11" s="46">
        <f>+AG11</f>
        <v>23</v>
      </c>
      <c r="M11" s="41">
        <f>+$D11*$C11*L11*(1+$E11)*3</f>
        <v>149.04</v>
      </c>
      <c r="N11" s="46">
        <f>+AL11</f>
        <v>28</v>
      </c>
      <c r="O11" s="41">
        <f>+$D11*$C11*N11*(1+$E11)*3</f>
        <v>181.44</v>
      </c>
      <c r="P11" s="49">
        <f>+O11+M11+K11+I11</f>
        <v>544.31999999999994</v>
      </c>
      <c r="Q11" s="269"/>
      <c r="R11" s="114">
        <f>+I11/3</f>
        <v>32.4</v>
      </c>
      <c r="S11" s="109">
        <v>13</v>
      </c>
      <c r="T11" s="69">
        <v>3</v>
      </c>
      <c r="U11" s="69"/>
      <c r="V11" s="69">
        <v>1</v>
      </c>
      <c r="W11" s="88">
        <f>+S11+T11+U11-V11</f>
        <v>15</v>
      </c>
      <c r="X11" s="109">
        <f>+W11</f>
        <v>15</v>
      </c>
      <c r="Y11" s="110">
        <v>4</v>
      </c>
      <c r="Z11" s="110"/>
      <c r="AA11" s="110">
        <v>1</v>
      </c>
      <c r="AB11" s="88">
        <f>+X11+Y11+Z11-AA11</f>
        <v>18</v>
      </c>
      <c r="AC11" s="109">
        <f>+AB11</f>
        <v>18</v>
      </c>
      <c r="AD11" s="69">
        <v>6</v>
      </c>
      <c r="AE11" s="69"/>
      <c r="AF11" s="110">
        <v>1</v>
      </c>
      <c r="AG11" s="88">
        <f>+AC11+AD11+AE11-AF11</f>
        <v>23</v>
      </c>
      <c r="AH11" s="110">
        <f>+AG11</f>
        <v>23</v>
      </c>
      <c r="AI11" s="69">
        <v>6</v>
      </c>
      <c r="AJ11" s="69"/>
      <c r="AK11" s="110">
        <v>1</v>
      </c>
      <c r="AL11" s="88">
        <f>+AH11+AI11+AJ11-AK11</f>
        <v>28</v>
      </c>
    </row>
    <row r="12" spans="1:38" ht="13.5" thickBot="1">
      <c r="A12" t="s">
        <v>85</v>
      </c>
      <c r="C12" s="243">
        <v>0.5</v>
      </c>
      <c r="D12" s="26">
        <v>13</v>
      </c>
      <c r="E12" s="245">
        <v>0.44</v>
      </c>
      <c r="H12" s="46">
        <f>+W12</f>
        <v>3</v>
      </c>
      <c r="I12" s="41">
        <f>+$D12*$C12*H12*(1+$E12)*3</f>
        <v>84.24</v>
      </c>
      <c r="J12" s="46">
        <f>+AB12</f>
        <v>5</v>
      </c>
      <c r="K12" s="41">
        <f>+$D12*$C12*J12*(1+$E12)*3</f>
        <v>140.39999999999998</v>
      </c>
      <c r="L12" s="46">
        <f>+AG12</f>
        <v>7</v>
      </c>
      <c r="M12" s="41">
        <f>+$D12*$C12*L12*(1+$E12)*3</f>
        <v>196.56</v>
      </c>
      <c r="N12" s="46">
        <f>+AL12</f>
        <v>9</v>
      </c>
      <c r="O12" s="41">
        <f>+$D12*$C12*N12*(1+$E12)*3</f>
        <v>252.71999999999997</v>
      </c>
      <c r="P12" s="49">
        <f>+O12+M12+K12+I12</f>
        <v>673.92</v>
      </c>
      <c r="Q12" s="269"/>
      <c r="R12" s="114">
        <f>+I12/3</f>
        <v>28.08</v>
      </c>
      <c r="S12" s="109">
        <v>2</v>
      </c>
      <c r="T12" s="69">
        <v>1</v>
      </c>
      <c r="U12" s="69"/>
      <c r="V12" s="69">
        <v>0</v>
      </c>
      <c r="W12" s="88">
        <f>+S12+T12+U12-V12</f>
        <v>3</v>
      </c>
      <c r="X12" s="109">
        <f>+W12</f>
        <v>3</v>
      </c>
      <c r="Y12" s="110">
        <v>2</v>
      </c>
      <c r="Z12" s="110"/>
      <c r="AA12" s="110">
        <v>0</v>
      </c>
      <c r="AB12" s="88">
        <f>+X12+Y12+Z12-AA12</f>
        <v>5</v>
      </c>
      <c r="AC12" s="109">
        <f>+AB12</f>
        <v>5</v>
      </c>
      <c r="AD12" s="69">
        <v>2</v>
      </c>
      <c r="AE12" s="69"/>
      <c r="AF12" s="110"/>
      <c r="AG12" s="88">
        <f>+AC12+AD12+AE12-AF12</f>
        <v>7</v>
      </c>
      <c r="AH12" s="110">
        <f>+AG12</f>
        <v>7</v>
      </c>
      <c r="AI12" s="69">
        <v>2</v>
      </c>
      <c r="AJ12" s="69"/>
      <c r="AK12" s="110"/>
      <c r="AL12" s="88">
        <f>+AH12+AI12+AJ12-AK12</f>
        <v>9</v>
      </c>
    </row>
    <row r="13" spans="1:38" ht="13.5" thickBot="1">
      <c r="A13" t="s">
        <v>28</v>
      </c>
      <c r="C13" s="243">
        <v>2.5</v>
      </c>
      <c r="D13" s="26">
        <v>10</v>
      </c>
      <c r="E13" s="245">
        <f>44%*0.25</f>
        <v>0.11</v>
      </c>
      <c r="H13" s="46">
        <f>+W13</f>
        <v>6</v>
      </c>
      <c r="I13" s="41">
        <f>+$D13*$C13*H13*(1+$E13)*3</f>
        <v>499.50000000000011</v>
      </c>
      <c r="J13" s="46">
        <f>+AB13</f>
        <v>10</v>
      </c>
      <c r="K13" s="41">
        <f>+$D13*$C13*J13*(1+$E13)*3</f>
        <v>832.5</v>
      </c>
      <c r="L13" s="46">
        <f>+AG13</f>
        <v>14</v>
      </c>
      <c r="M13" s="41">
        <f>+$D13*$C13*L13*(1+$E13)*3</f>
        <v>1165.5000000000002</v>
      </c>
      <c r="N13" s="46">
        <f>+AL13</f>
        <v>18</v>
      </c>
      <c r="O13" s="41">
        <f>+$D13*$C13*N13*(1+$E13)*3</f>
        <v>1498.5000000000002</v>
      </c>
      <c r="P13" s="49">
        <f>+O13+M13+K13+I13</f>
        <v>3996.0000000000005</v>
      </c>
      <c r="Q13" s="269"/>
      <c r="R13" s="114">
        <f>+I13/3</f>
        <v>166.50000000000003</v>
      </c>
      <c r="S13" s="109">
        <v>2</v>
      </c>
      <c r="T13" s="69">
        <v>1</v>
      </c>
      <c r="U13" s="69">
        <v>3</v>
      </c>
      <c r="V13" s="69">
        <v>0</v>
      </c>
      <c r="W13" s="88">
        <f>+S13+T13+U13-V13</f>
        <v>6</v>
      </c>
      <c r="X13" s="109">
        <f>+W13</f>
        <v>6</v>
      </c>
      <c r="Y13" s="110">
        <v>1</v>
      </c>
      <c r="Z13" s="110">
        <v>3</v>
      </c>
      <c r="AA13" s="110">
        <v>0</v>
      </c>
      <c r="AB13" s="88">
        <f>+X13+Y13+Z13-AA13</f>
        <v>10</v>
      </c>
      <c r="AC13" s="109">
        <f>+AB13</f>
        <v>10</v>
      </c>
      <c r="AD13" s="69">
        <v>1</v>
      </c>
      <c r="AE13" s="69">
        <v>3</v>
      </c>
      <c r="AF13" s="110">
        <v>0</v>
      </c>
      <c r="AG13" s="88">
        <f>+AC13+AD13+AE13-AF13</f>
        <v>14</v>
      </c>
      <c r="AH13" s="110">
        <f>+AG13</f>
        <v>14</v>
      </c>
      <c r="AI13" s="69">
        <v>1</v>
      </c>
      <c r="AJ13" s="69">
        <v>3</v>
      </c>
      <c r="AK13" s="110">
        <v>0</v>
      </c>
      <c r="AL13" s="88">
        <f>+AH13+AI13+AJ13-AK13</f>
        <v>18</v>
      </c>
    </row>
    <row r="14" spans="1:38" ht="13.5" thickBot="1">
      <c r="A14" t="s">
        <v>186</v>
      </c>
      <c r="C14" s="243"/>
      <c r="D14" s="26"/>
      <c r="E14" s="245"/>
      <c r="H14" s="46"/>
      <c r="I14" s="41"/>
      <c r="J14" s="46">
        <v>1</v>
      </c>
      <c r="K14" s="41"/>
      <c r="L14" s="46"/>
      <c r="M14" s="41"/>
      <c r="N14" s="46"/>
      <c r="O14" s="41"/>
      <c r="P14" s="49"/>
      <c r="Q14" s="269"/>
      <c r="R14" s="114"/>
      <c r="S14" s="109"/>
      <c r="T14" s="69"/>
      <c r="U14" s="69"/>
      <c r="V14" s="69">
        <v>0</v>
      </c>
      <c r="W14" s="88">
        <f>+S14+T14+U14-V14</f>
        <v>0</v>
      </c>
      <c r="X14" s="109">
        <f>+W14</f>
        <v>0</v>
      </c>
      <c r="Y14" s="110"/>
      <c r="Z14" s="110"/>
      <c r="AA14" s="110">
        <v>0</v>
      </c>
      <c r="AB14" s="88">
        <f>+X14+Y14+Z14-AA14</f>
        <v>0</v>
      </c>
      <c r="AC14" s="109">
        <f>+AB14</f>
        <v>0</v>
      </c>
      <c r="AD14" s="69"/>
      <c r="AE14" s="69"/>
      <c r="AF14" s="110">
        <v>0</v>
      </c>
      <c r="AG14" s="88">
        <f>+AC14+AD14+AE14-AF14</f>
        <v>0</v>
      </c>
      <c r="AH14" s="110">
        <f>+AG14</f>
        <v>0</v>
      </c>
      <c r="AI14" s="69"/>
      <c r="AJ14" s="69"/>
      <c r="AK14" s="110">
        <v>0</v>
      </c>
      <c r="AL14" s="88">
        <f>+AH14+AI14+AJ14-AK14</f>
        <v>0</v>
      </c>
    </row>
    <row r="15" spans="1:38" ht="13.5" thickBot="1">
      <c r="C15" s="254"/>
      <c r="D15" s="255"/>
      <c r="E15" s="256">
        <f>AVERAGE(E11:E13)</f>
        <v>0.33</v>
      </c>
      <c r="H15" s="44">
        <f t="shared" ref="H15:O15" si="0">SUM(H10:H13)</f>
        <v>24</v>
      </c>
      <c r="I15" s="45">
        <f t="shared" si="0"/>
        <v>680.94</v>
      </c>
      <c r="J15" s="44">
        <f t="shared" si="0"/>
        <v>33</v>
      </c>
      <c r="K15" s="45">
        <f t="shared" si="0"/>
        <v>1089.54</v>
      </c>
      <c r="L15" s="44">
        <f t="shared" si="0"/>
        <v>44</v>
      </c>
      <c r="M15" s="45">
        <f t="shared" si="0"/>
        <v>1511.1000000000004</v>
      </c>
      <c r="N15" s="44">
        <f t="shared" si="0"/>
        <v>55</v>
      </c>
      <c r="O15" s="45">
        <f t="shared" si="0"/>
        <v>1932.6600000000003</v>
      </c>
      <c r="P15" s="55">
        <f>SUM(P11:P13)</f>
        <v>5214.24</v>
      </c>
      <c r="Q15" s="270">
        <f>+P15/$P$28</f>
        <v>0.31861288178014158</v>
      </c>
      <c r="R15" s="114">
        <f>+I15/3</f>
        <v>226.98000000000002</v>
      </c>
      <c r="T15">
        <f>SUM(T11:T13)</f>
        <v>5</v>
      </c>
      <c r="V15">
        <f>SUM(V11:V13)</f>
        <v>1</v>
      </c>
      <c r="Y15">
        <f>SUM(Y11:Y13)</f>
        <v>7</v>
      </c>
      <c r="AA15">
        <f>SUM(AA11:AA13)</f>
        <v>1</v>
      </c>
      <c r="AD15">
        <f>SUM(AD11:AD13)</f>
        <v>9</v>
      </c>
      <c r="AF15">
        <f>SUM(AF11:AF13)</f>
        <v>1</v>
      </c>
      <c r="AI15">
        <f>SUM(AI11:AI13)</f>
        <v>9</v>
      </c>
      <c r="AK15">
        <f>SUM(AK11:AK13)</f>
        <v>1</v>
      </c>
    </row>
    <row r="16" spans="1:38">
      <c r="C16" s="243"/>
      <c r="D16" s="26"/>
      <c r="E16" s="40"/>
      <c r="H16" s="46"/>
      <c r="I16" s="41"/>
      <c r="J16" s="46"/>
      <c r="K16" s="41"/>
      <c r="L16" s="46"/>
      <c r="M16" s="41"/>
      <c r="N16" s="46"/>
      <c r="O16" s="41"/>
      <c r="P16" s="40"/>
      <c r="Q16" s="26"/>
    </row>
    <row r="17" spans="1:38">
      <c r="A17" s="31" t="s">
        <v>19</v>
      </c>
      <c r="C17" s="243"/>
      <c r="D17" s="26"/>
      <c r="E17" s="40"/>
      <c r="H17" s="46"/>
      <c r="I17" s="41"/>
      <c r="J17" s="46"/>
      <c r="K17" s="41"/>
      <c r="L17" s="46"/>
      <c r="M17" s="41"/>
      <c r="N17" s="46"/>
      <c r="O17" s="41"/>
      <c r="P17" s="40"/>
      <c r="Q17" s="26"/>
      <c r="S17" s="107" t="s">
        <v>82</v>
      </c>
      <c r="T17" s="106" t="s">
        <v>79</v>
      </c>
      <c r="U17" s="106"/>
      <c r="V17" s="106" t="s">
        <v>80</v>
      </c>
      <c r="W17" s="108" t="s">
        <v>81</v>
      </c>
      <c r="X17" s="107" t="s">
        <v>82</v>
      </c>
      <c r="Y17" s="106" t="s">
        <v>79</v>
      </c>
      <c r="Z17" s="106"/>
      <c r="AA17" s="106" t="s">
        <v>80</v>
      </c>
      <c r="AB17" s="108" t="s">
        <v>81</v>
      </c>
      <c r="AC17" s="107" t="s">
        <v>82</v>
      </c>
      <c r="AD17" s="106" t="s">
        <v>79</v>
      </c>
      <c r="AE17" s="106"/>
      <c r="AF17" s="106" t="s">
        <v>80</v>
      </c>
      <c r="AG17" s="108" t="s">
        <v>81</v>
      </c>
      <c r="AH17" s="102" t="s">
        <v>82</v>
      </c>
      <c r="AI17" s="106" t="s">
        <v>79</v>
      </c>
      <c r="AJ17" s="106"/>
      <c r="AK17" s="106" t="s">
        <v>80</v>
      </c>
      <c r="AL17" s="108" t="s">
        <v>81</v>
      </c>
    </row>
    <row r="18" spans="1:38" ht="13.5" thickBot="1">
      <c r="A18" t="s">
        <v>77</v>
      </c>
      <c r="C18" s="243">
        <v>0.3</v>
      </c>
      <c r="D18" s="26">
        <v>12</v>
      </c>
      <c r="E18" s="40"/>
      <c r="H18" s="46">
        <f>+W18</f>
        <v>14</v>
      </c>
      <c r="I18" s="41">
        <f>+$D18*$C18*H18*(1+$E18)*3</f>
        <v>151.19999999999999</v>
      </c>
      <c r="J18" s="46">
        <f>+AB18</f>
        <v>16</v>
      </c>
      <c r="K18" s="41">
        <f>+$D18*$C18*J18*(1+$E18)*3</f>
        <v>172.79999999999998</v>
      </c>
      <c r="L18" s="46">
        <f>+AG18</f>
        <v>19</v>
      </c>
      <c r="M18" s="41">
        <f>+$D18*$C18*L18*(1+$E18)*3</f>
        <v>205.2</v>
      </c>
      <c r="N18" s="46">
        <f>+AL18</f>
        <v>23</v>
      </c>
      <c r="O18" s="41">
        <f>+$D18*$C18*N18*(1+$E18)*3</f>
        <v>248.39999999999998</v>
      </c>
      <c r="P18" s="49">
        <f>+O18+M18+K18+I18</f>
        <v>777.59999999999991</v>
      </c>
      <c r="Q18" s="269"/>
      <c r="R18" s="114">
        <f>+I18/3</f>
        <v>50.4</v>
      </c>
      <c r="S18" s="109">
        <v>12</v>
      </c>
      <c r="T18" s="69">
        <v>3</v>
      </c>
      <c r="U18" s="69"/>
      <c r="V18" s="69">
        <v>1</v>
      </c>
      <c r="W18" s="88">
        <f>+S18+T18-V18</f>
        <v>14</v>
      </c>
      <c r="X18" s="109">
        <f>+W18</f>
        <v>14</v>
      </c>
      <c r="Y18" s="110">
        <v>3</v>
      </c>
      <c r="Z18" s="110"/>
      <c r="AA18" s="110">
        <v>1</v>
      </c>
      <c r="AB18" s="88">
        <f>+X18+Y18-AA18</f>
        <v>16</v>
      </c>
      <c r="AC18" s="109">
        <f>+AB18</f>
        <v>16</v>
      </c>
      <c r="AD18" s="69">
        <v>4</v>
      </c>
      <c r="AE18" s="69"/>
      <c r="AF18" s="110">
        <v>1</v>
      </c>
      <c r="AG18" s="88">
        <f>+AC18+AD18-AF18</f>
        <v>19</v>
      </c>
      <c r="AH18" s="110">
        <f>+AG18</f>
        <v>19</v>
      </c>
      <c r="AI18" s="69">
        <v>5</v>
      </c>
      <c r="AJ18" s="69"/>
      <c r="AK18" s="110">
        <v>1</v>
      </c>
      <c r="AL18" s="88">
        <f>+AH18+AI18-AK18</f>
        <v>23</v>
      </c>
    </row>
    <row r="19" spans="1:38" ht="13.5" thickBot="1">
      <c r="A19" t="s">
        <v>10</v>
      </c>
      <c r="C19" s="243">
        <v>0.75</v>
      </c>
      <c r="D19" s="26">
        <v>11</v>
      </c>
      <c r="E19" s="40"/>
      <c r="H19" s="46">
        <f>+W19</f>
        <v>7</v>
      </c>
      <c r="I19" s="41">
        <f>+$D19*$C19*H19*(1+$E19)*3</f>
        <v>173.25</v>
      </c>
      <c r="J19" s="46">
        <f>+AB19</f>
        <v>8</v>
      </c>
      <c r="K19" s="41">
        <f>+$D19*$C19*J19*(1+$E19)*3</f>
        <v>198</v>
      </c>
      <c r="L19" s="46">
        <f>+AG19</f>
        <v>10</v>
      </c>
      <c r="M19" s="41">
        <f>+$D19*$C19*L19*(1+$E19)*3</f>
        <v>247.5</v>
      </c>
      <c r="N19" s="46">
        <f>+AL19</f>
        <v>11</v>
      </c>
      <c r="O19" s="41">
        <f>+$D19*$C19*N19*(1+$E19)*3</f>
        <v>272.25</v>
      </c>
      <c r="P19" s="49">
        <f>+O19+M19+K19+I19</f>
        <v>891</v>
      </c>
      <c r="Q19" s="269"/>
      <c r="R19" s="114">
        <f>+I19/3</f>
        <v>57.75</v>
      </c>
      <c r="S19" s="109">
        <v>6</v>
      </c>
      <c r="T19" s="69">
        <v>1</v>
      </c>
      <c r="U19" s="69"/>
      <c r="V19" s="69"/>
      <c r="W19" s="88">
        <f>+S19+T19-V19</f>
        <v>7</v>
      </c>
      <c r="X19" s="109">
        <f>+W19</f>
        <v>7</v>
      </c>
      <c r="Y19" s="110">
        <v>2</v>
      </c>
      <c r="Z19" s="110"/>
      <c r="AA19" s="110">
        <v>1</v>
      </c>
      <c r="AB19" s="88">
        <f>+X19+Y19-AA19</f>
        <v>8</v>
      </c>
      <c r="AC19" s="109">
        <f>+AB19</f>
        <v>8</v>
      </c>
      <c r="AD19" s="69">
        <v>2</v>
      </c>
      <c r="AE19" s="69"/>
      <c r="AF19" s="110"/>
      <c r="AG19" s="88">
        <f>+AC19+AD19-AF19</f>
        <v>10</v>
      </c>
      <c r="AH19" s="110">
        <f>+AG19</f>
        <v>10</v>
      </c>
      <c r="AI19" s="69">
        <v>2</v>
      </c>
      <c r="AJ19" s="69"/>
      <c r="AK19" s="110">
        <v>1</v>
      </c>
      <c r="AL19" s="88">
        <f>+AH19+AI19-AK19</f>
        <v>11</v>
      </c>
    </row>
    <row r="20" spans="1:38" ht="13.5" thickBot="1">
      <c r="A20" t="s">
        <v>28</v>
      </c>
      <c r="C20" s="243">
        <v>1.5</v>
      </c>
      <c r="D20" s="26">
        <v>10</v>
      </c>
      <c r="E20" s="40"/>
      <c r="H20" s="46">
        <f>+W20</f>
        <v>5</v>
      </c>
      <c r="I20" s="41">
        <f>+$D20*$C20*H20*(1+$E20)*3</f>
        <v>225</v>
      </c>
      <c r="J20" s="46">
        <f>+AB20</f>
        <v>7</v>
      </c>
      <c r="K20" s="41">
        <f>+$D20*$C20*J20*(1+$E20)*3</f>
        <v>315</v>
      </c>
      <c r="L20" s="46">
        <f>+AG20</f>
        <v>9</v>
      </c>
      <c r="M20" s="41">
        <f>+$D20*$C20*L20*(1+$E20)*3</f>
        <v>405</v>
      </c>
      <c r="N20" s="46">
        <f>+AL20</f>
        <v>11</v>
      </c>
      <c r="O20" s="41">
        <f>+$D20*$C20*N20*(1+$E20)*3</f>
        <v>495</v>
      </c>
      <c r="P20" s="49">
        <f>+O20+M20+K20+I20</f>
        <v>1440</v>
      </c>
      <c r="Q20" s="269"/>
      <c r="R20" s="114">
        <f>+I20/3</f>
        <v>75</v>
      </c>
      <c r="S20" s="109">
        <v>3</v>
      </c>
      <c r="T20" s="69">
        <v>2</v>
      </c>
      <c r="U20" s="69"/>
      <c r="V20" s="69"/>
      <c r="W20" s="88">
        <f>+S20+T20-V20</f>
        <v>5</v>
      </c>
      <c r="X20" s="109">
        <f>+W20</f>
        <v>5</v>
      </c>
      <c r="Y20" s="110">
        <v>2</v>
      </c>
      <c r="Z20" s="110"/>
      <c r="AA20" s="110"/>
      <c r="AB20" s="88">
        <f>+X20+Y20-AA20</f>
        <v>7</v>
      </c>
      <c r="AC20" s="109">
        <f>+AB20</f>
        <v>7</v>
      </c>
      <c r="AD20" s="69">
        <v>2</v>
      </c>
      <c r="AE20" s="69"/>
      <c r="AF20" s="110"/>
      <c r="AG20" s="88">
        <f>+AC20+AD20-AF20</f>
        <v>9</v>
      </c>
      <c r="AH20" s="110">
        <f>+AG20</f>
        <v>9</v>
      </c>
      <c r="AI20" s="69">
        <v>2</v>
      </c>
      <c r="AJ20" s="69"/>
      <c r="AK20" s="110"/>
      <c r="AL20" s="88">
        <f>+AH20+AI20-AK20</f>
        <v>11</v>
      </c>
    </row>
    <row r="21" spans="1:38" ht="13.5" thickBot="1">
      <c r="A21" t="s">
        <v>83</v>
      </c>
      <c r="C21" s="244">
        <v>3</v>
      </c>
      <c r="D21" s="210">
        <v>7</v>
      </c>
      <c r="E21" s="47"/>
      <c r="H21" s="56">
        <f>+W21</f>
        <v>5</v>
      </c>
      <c r="I21" s="43">
        <f>+$D21*$C21*H21*(1+$E21)*3</f>
        <v>315</v>
      </c>
      <c r="J21" s="56">
        <f>+AB21</f>
        <v>6</v>
      </c>
      <c r="K21" s="43">
        <f>+$D21*$C21*J21*(1+$E21)*3</f>
        <v>378</v>
      </c>
      <c r="L21" s="56">
        <f>+AG21</f>
        <v>8</v>
      </c>
      <c r="M21" s="43">
        <f>+$D21*$C21*L21*(1+$E21)*3</f>
        <v>504</v>
      </c>
      <c r="N21" s="56">
        <f>+AL21</f>
        <v>9</v>
      </c>
      <c r="O21" s="43">
        <f>+$D21*$C21*N21*(1+$E21)*3</f>
        <v>567</v>
      </c>
      <c r="P21" s="49">
        <f>+O21+M21+K21+I21</f>
        <v>1764</v>
      </c>
      <c r="Q21" s="269"/>
      <c r="R21" s="114">
        <f>+I21/3</f>
        <v>105</v>
      </c>
      <c r="S21" s="109">
        <v>2</v>
      </c>
      <c r="T21" s="69">
        <v>3</v>
      </c>
      <c r="U21" s="69"/>
      <c r="V21" s="69">
        <v>0</v>
      </c>
      <c r="W21" s="88">
        <f>+S21+T21-V21</f>
        <v>5</v>
      </c>
      <c r="X21" s="109">
        <f>+W21</f>
        <v>5</v>
      </c>
      <c r="Y21" s="110">
        <v>1</v>
      </c>
      <c r="Z21" s="110"/>
      <c r="AA21" s="110"/>
      <c r="AB21" s="88">
        <f>+X21+Y21-AA21</f>
        <v>6</v>
      </c>
      <c r="AC21" s="109">
        <f>+AB21</f>
        <v>6</v>
      </c>
      <c r="AD21" s="69">
        <v>2</v>
      </c>
      <c r="AE21" s="69"/>
      <c r="AF21" s="110"/>
      <c r="AG21" s="88">
        <f>+AC21+AD21-AF21</f>
        <v>8</v>
      </c>
      <c r="AH21" s="110">
        <f>+AG21</f>
        <v>8</v>
      </c>
      <c r="AI21" s="69">
        <v>1</v>
      </c>
      <c r="AJ21" s="69"/>
      <c r="AK21" s="110">
        <v>0</v>
      </c>
      <c r="AL21" s="88">
        <f>+AH21+AI21-AK21</f>
        <v>9</v>
      </c>
    </row>
    <row r="22" spans="1:38" ht="13.5" thickBot="1">
      <c r="C22" s="254"/>
      <c r="D22" s="255"/>
      <c r="E22" s="260"/>
      <c r="H22" s="44">
        <f>SUM(H18:H21)</f>
        <v>31</v>
      </c>
      <c r="I22" s="45">
        <f t="shared" ref="I22:O22" si="1">SUM(I18:I21)</f>
        <v>864.45</v>
      </c>
      <c r="J22" s="44">
        <f t="shared" si="1"/>
        <v>37</v>
      </c>
      <c r="K22" s="45">
        <f t="shared" si="1"/>
        <v>1063.8</v>
      </c>
      <c r="L22" s="44">
        <f t="shared" si="1"/>
        <v>46</v>
      </c>
      <c r="M22" s="45">
        <f t="shared" si="1"/>
        <v>1361.7</v>
      </c>
      <c r="N22" s="44">
        <f t="shared" si="1"/>
        <v>54</v>
      </c>
      <c r="O22" s="45">
        <f t="shared" si="1"/>
        <v>1582.65</v>
      </c>
      <c r="P22" s="55">
        <f>SUM(P18:P21)</f>
        <v>4872.6000000000004</v>
      </c>
      <c r="Q22" s="270">
        <f>+P22/$P$28</f>
        <v>0.29773718274607958</v>
      </c>
      <c r="R22" s="114">
        <f>+I22/3</f>
        <v>288.15000000000003</v>
      </c>
      <c r="T22">
        <f>SUM(T18:T21)</f>
        <v>9</v>
      </c>
      <c r="V22" s="6">
        <f>SUM(V18:V21)</f>
        <v>1</v>
      </c>
      <c r="Y22">
        <f>SUM(Y18:Y21)</f>
        <v>8</v>
      </c>
      <c r="AA22" s="6">
        <f>SUM(AA18:AA21)</f>
        <v>2</v>
      </c>
      <c r="AD22">
        <f>SUM(AD18:AD21)</f>
        <v>10</v>
      </c>
      <c r="AF22" s="6">
        <f>SUM(AF18:AF21)</f>
        <v>1</v>
      </c>
      <c r="AI22">
        <f>SUM(AI18:AI21)</f>
        <v>10</v>
      </c>
      <c r="AK22" s="6">
        <f>SUM(AK18:AK21)</f>
        <v>2</v>
      </c>
    </row>
    <row r="23" spans="1:38">
      <c r="C23" s="243"/>
      <c r="D23" s="26"/>
      <c r="E23" s="40"/>
      <c r="H23" s="46"/>
      <c r="I23" s="41"/>
      <c r="J23" s="46"/>
      <c r="K23" s="41"/>
      <c r="L23" s="46"/>
      <c r="M23" s="41"/>
      <c r="N23" s="46"/>
      <c r="O23" s="41"/>
      <c r="P23" s="40"/>
      <c r="Q23" s="26"/>
      <c r="S23" s="107" t="s">
        <v>82</v>
      </c>
      <c r="T23" s="106" t="s">
        <v>79</v>
      </c>
      <c r="U23" s="106"/>
      <c r="V23" s="106" t="s">
        <v>80</v>
      </c>
      <c r="W23" s="108" t="s">
        <v>81</v>
      </c>
      <c r="X23" s="107" t="s">
        <v>82</v>
      </c>
      <c r="Y23" s="106" t="s">
        <v>79</v>
      </c>
      <c r="Z23" s="106"/>
      <c r="AA23" s="106" t="s">
        <v>80</v>
      </c>
      <c r="AB23" s="108" t="s">
        <v>81</v>
      </c>
      <c r="AC23" s="107" t="s">
        <v>82</v>
      </c>
      <c r="AD23" s="106" t="s">
        <v>79</v>
      </c>
      <c r="AE23" s="106"/>
      <c r="AF23" s="106" t="s">
        <v>80</v>
      </c>
      <c r="AG23" s="108" t="s">
        <v>81</v>
      </c>
      <c r="AH23" s="102" t="s">
        <v>82</v>
      </c>
      <c r="AI23" s="106" t="s">
        <v>79</v>
      </c>
      <c r="AJ23" s="106"/>
      <c r="AK23" s="106" t="s">
        <v>80</v>
      </c>
      <c r="AL23" s="108" t="s">
        <v>81</v>
      </c>
    </row>
    <row r="24" spans="1:38" ht="13.5" thickBot="1">
      <c r="A24" s="31" t="s">
        <v>21</v>
      </c>
      <c r="C24" s="243"/>
      <c r="D24" s="26">
        <v>3.8</v>
      </c>
      <c r="E24" s="40"/>
      <c r="H24" s="46">
        <f>+W24</f>
        <v>47</v>
      </c>
      <c r="I24" s="41">
        <f>+H24*$D$24*3</f>
        <v>535.79999999999995</v>
      </c>
      <c r="J24" s="46">
        <f>+AB24</f>
        <v>58</v>
      </c>
      <c r="K24" s="41">
        <f>+J24*$D$24*3</f>
        <v>661.19999999999993</v>
      </c>
      <c r="L24" s="46">
        <f>+AG24</f>
        <v>70</v>
      </c>
      <c r="M24" s="41">
        <f>+L24*$D$24*3</f>
        <v>798</v>
      </c>
      <c r="N24" s="46">
        <f>+AL24</f>
        <v>83</v>
      </c>
      <c r="O24" s="41">
        <f>+N24*$D$24*3</f>
        <v>946.19999999999993</v>
      </c>
      <c r="P24" s="41">
        <f>+O24+M24+K24+I24</f>
        <v>2941.2</v>
      </c>
      <c r="Q24" s="270">
        <f>+P24/$P$28</f>
        <v>0.17972019084118729</v>
      </c>
      <c r="R24" s="114">
        <f>+I24/3</f>
        <v>178.6</v>
      </c>
      <c r="S24" s="109">
        <v>37</v>
      </c>
      <c r="T24" s="69">
        <v>12</v>
      </c>
      <c r="U24" s="69"/>
      <c r="V24" s="69">
        <v>2</v>
      </c>
      <c r="W24" s="88">
        <f>+S24+T24-V24</f>
        <v>47</v>
      </c>
      <c r="X24" s="109">
        <f>+W24</f>
        <v>47</v>
      </c>
      <c r="Y24" s="110">
        <v>13</v>
      </c>
      <c r="Z24" s="110"/>
      <c r="AA24" s="110">
        <v>2</v>
      </c>
      <c r="AB24" s="88">
        <f>+X24+Y24-AA24</f>
        <v>58</v>
      </c>
      <c r="AC24" s="109">
        <f>+AB24</f>
        <v>58</v>
      </c>
      <c r="AD24" s="69">
        <v>14</v>
      </c>
      <c r="AE24" s="69"/>
      <c r="AF24" s="110">
        <v>2</v>
      </c>
      <c r="AG24" s="88">
        <f>+AC24+AD24-AF24</f>
        <v>70</v>
      </c>
      <c r="AH24" s="110">
        <f>+AG24</f>
        <v>70</v>
      </c>
      <c r="AI24" s="69">
        <v>15</v>
      </c>
      <c r="AJ24" s="69"/>
      <c r="AK24" s="110">
        <v>2</v>
      </c>
      <c r="AL24" s="88">
        <f>+AH24+AI24-AK24</f>
        <v>83</v>
      </c>
    </row>
    <row r="25" spans="1:38" ht="13.5" thickBot="1">
      <c r="A25" s="31" t="s">
        <v>31</v>
      </c>
      <c r="C25" s="39"/>
      <c r="D25" s="26">
        <v>25</v>
      </c>
      <c r="E25" s="40"/>
      <c r="H25" s="46">
        <f>T25-V25</f>
        <v>12</v>
      </c>
      <c r="I25" s="41">
        <f>+H25*$D25</f>
        <v>300</v>
      </c>
      <c r="J25" s="46">
        <f>Y25-AA25</f>
        <v>12</v>
      </c>
      <c r="K25" s="41">
        <f>+J25*$D25</f>
        <v>300</v>
      </c>
      <c r="L25" s="46">
        <f>AD25-AF25</f>
        <v>14</v>
      </c>
      <c r="M25" s="41">
        <f>+L25*$D25</f>
        <v>350</v>
      </c>
      <c r="N25" s="46">
        <f>AI25-AK25</f>
        <v>15</v>
      </c>
      <c r="O25" s="41">
        <f>+N25*D25</f>
        <v>375</v>
      </c>
      <c r="P25" s="41">
        <f>+O25+M25+K25+I25</f>
        <v>1325</v>
      </c>
      <c r="Q25" s="270">
        <f>+P25/$P$28</f>
        <v>8.0963298267568734E-2</v>
      </c>
      <c r="R25" s="114">
        <f>+I25/3</f>
        <v>100</v>
      </c>
      <c r="S25" s="109">
        <v>17</v>
      </c>
      <c r="T25" s="69">
        <f>+T24</f>
        <v>12</v>
      </c>
      <c r="U25" s="69"/>
      <c r="V25" s="69">
        <v>0</v>
      </c>
      <c r="W25" s="88">
        <f>+S25+T25-V25</f>
        <v>29</v>
      </c>
      <c r="X25" s="109">
        <f>+W25</f>
        <v>29</v>
      </c>
      <c r="Y25" s="110">
        <f>+Y24</f>
        <v>13</v>
      </c>
      <c r="Z25" s="110"/>
      <c r="AA25" s="110">
        <v>1</v>
      </c>
      <c r="AB25" s="88">
        <f>+X25+Y25-AA25</f>
        <v>41</v>
      </c>
      <c r="AC25" s="109">
        <f>+AB25</f>
        <v>41</v>
      </c>
      <c r="AD25" s="69">
        <f>+AD24</f>
        <v>14</v>
      </c>
      <c r="AE25" s="69"/>
      <c r="AF25" s="110">
        <v>0</v>
      </c>
      <c r="AG25" s="88">
        <f>+AC25+AD25-AF25</f>
        <v>55</v>
      </c>
      <c r="AH25" s="110">
        <f>+AG25</f>
        <v>55</v>
      </c>
      <c r="AI25" s="69">
        <f>+AI24</f>
        <v>15</v>
      </c>
      <c r="AJ25" s="69"/>
      <c r="AK25" s="110">
        <v>0</v>
      </c>
      <c r="AL25" s="88">
        <f>+AH25+AI25-AK25</f>
        <v>70</v>
      </c>
    </row>
    <row r="26" spans="1:38" ht="13.5" thickBot="1">
      <c r="C26" s="42"/>
      <c r="D26" s="210"/>
      <c r="E26" s="47"/>
      <c r="H26" s="42"/>
      <c r="I26" s="47"/>
      <c r="J26" s="42"/>
      <c r="K26" s="47"/>
      <c r="L26" s="42"/>
      <c r="M26" s="47"/>
      <c r="N26" s="42"/>
      <c r="O26" s="47"/>
      <c r="P26" s="47"/>
      <c r="Q26" s="26"/>
    </row>
    <row r="27" spans="1:38" s="53" customFormat="1" ht="13.5" thickBot="1">
      <c r="A27" s="50" t="s">
        <v>23</v>
      </c>
      <c r="B27" s="51"/>
      <c r="C27" s="261"/>
      <c r="D27" s="262"/>
      <c r="E27" s="263"/>
      <c r="F27" s="51"/>
      <c r="G27" s="51"/>
      <c r="H27" s="120">
        <f>SUM(H23:H26)</f>
        <v>59</v>
      </c>
      <c r="I27" s="121">
        <f t="shared" ref="I27:O27" si="2">SUM(I23:I26)</f>
        <v>835.8</v>
      </c>
      <c r="J27" s="123">
        <f t="shared" si="2"/>
        <v>70</v>
      </c>
      <c r="K27" s="124">
        <f t="shared" si="2"/>
        <v>961.19999999999993</v>
      </c>
      <c r="L27" s="123">
        <f t="shared" si="2"/>
        <v>84</v>
      </c>
      <c r="M27" s="124">
        <f t="shared" si="2"/>
        <v>1148</v>
      </c>
      <c r="N27" s="123">
        <f t="shared" si="2"/>
        <v>98</v>
      </c>
      <c r="O27" s="124">
        <f t="shared" si="2"/>
        <v>1321.1999999999998</v>
      </c>
      <c r="P27" s="122">
        <f>+P24+P25</f>
        <v>4266.2</v>
      </c>
      <c r="Q27" s="268"/>
      <c r="R27" s="114">
        <f>+I27/3</f>
        <v>278.59999999999997</v>
      </c>
    </row>
    <row r="28" spans="1:38" ht="13.5" thickBot="1">
      <c r="A28" s="112" t="s">
        <v>86</v>
      </c>
      <c r="B28" s="112"/>
      <c r="C28" s="112"/>
      <c r="D28" s="112"/>
      <c r="E28" s="112"/>
      <c r="F28" s="112"/>
      <c r="G28" s="112"/>
      <c r="H28" s="112"/>
      <c r="I28" s="119">
        <f>+I27+I22+I15+I8</f>
        <v>2845.59</v>
      </c>
      <c r="J28" s="112"/>
      <c r="K28" s="119">
        <f>+K27+K22+K15+K8</f>
        <v>3604.74</v>
      </c>
      <c r="L28" s="112"/>
      <c r="M28" s="119">
        <f>+M27+M22+M15+M8</f>
        <v>4536.8</v>
      </c>
      <c r="N28" s="112"/>
      <c r="O28" s="119">
        <f>+O27+O22+O15+O8</f>
        <v>5378.31</v>
      </c>
      <c r="P28" s="113">
        <f>+P27+P22+P15+P8</f>
        <v>16365.439999999999</v>
      </c>
      <c r="Q28" s="270">
        <f>SUM(Q8:Q26)</f>
        <v>1</v>
      </c>
      <c r="R28" s="113">
        <f>+R27+R22+R15+R8</f>
        <v>948.53</v>
      </c>
    </row>
    <row r="29" spans="1:38">
      <c r="T29">
        <f>+T12+T13+T18+T19+T20+T21</f>
        <v>11</v>
      </c>
      <c r="Y29">
        <f>+Y12+Y13+Y18+Y19+Y20+Y21</f>
        <v>11</v>
      </c>
      <c r="AD29">
        <f>+AD12+AD13+AD18+AD19+AD20+AD21</f>
        <v>13</v>
      </c>
      <c r="AI29">
        <f>+AI12+AI13+AI18+AI19+AI20+AI21</f>
        <v>13</v>
      </c>
    </row>
    <row r="30" spans="1:38">
      <c r="I30" s="4"/>
    </row>
    <row r="31" spans="1:38">
      <c r="A31" s="4">
        <f>+P11/C31</f>
        <v>21.599999999999994</v>
      </c>
      <c r="C31" s="4">
        <f>+H11*C11*3+J11*C11*3+L11*C11*3+N11*C11*3</f>
        <v>25.200000000000003</v>
      </c>
      <c r="P31">
        <v>13671</v>
      </c>
    </row>
    <row r="32" spans="1:38">
      <c r="C32" s="4">
        <f>+H12*C12*3+J12*C12*3+L12*C12*3+N12*C12*3</f>
        <v>36</v>
      </c>
    </row>
    <row r="33" spans="3:24" ht="13.5" thickBot="1">
      <c r="C33" s="4">
        <f>+H13*C13*3+J13*C13*3+L13*C13*3+N13*C13*3</f>
        <v>360</v>
      </c>
    </row>
    <row r="34" spans="3:24" ht="13.5" thickBot="1">
      <c r="C34" s="117">
        <v>40857</v>
      </c>
      <c r="E34" s="271"/>
      <c r="F34" s="272"/>
      <c r="G34" s="272"/>
      <c r="H34" s="272"/>
      <c r="I34" s="273" t="s">
        <v>92</v>
      </c>
      <c r="J34" s="273" t="s">
        <v>93</v>
      </c>
      <c r="K34" s="273" t="s">
        <v>95</v>
      </c>
      <c r="L34" s="274" t="s">
        <v>94</v>
      </c>
      <c r="M34" s="285">
        <v>2012</v>
      </c>
      <c r="N34" s="285" t="s">
        <v>91</v>
      </c>
      <c r="S34">
        <f>+P15*E15</f>
        <v>1720.6992</v>
      </c>
      <c r="X34" t="s">
        <v>187</v>
      </c>
    </row>
    <row r="35" spans="3:24">
      <c r="C35">
        <v>1.5</v>
      </c>
      <c r="E35" s="275" t="s">
        <v>97</v>
      </c>
      <c r="F35" s="276"/>
      <c r="G35" s="276"/>
      <c r="H35" s="276"/>
      <c r="I35" s="118">
        <f>(+H11*$C$11+H12*$C$12+H13*$C$13)*3</f>
        <v>54</v>
      </c>
      <c r="J35" s="118">
        <f>(+J11*$C$11+J12*$C$12+J13*$C$13)*3</f>
        <v>87.9</v>
      </c>
      <c r="K35" s="118">
        <f>(+L11*$C$11+L12*$C$12+L13*$C$13)*3</f>
        <v>122.39999999999999</v>
      </c>
      <c r="L35" s="66">
        <f>(+N11*$C$11+N12*$C$12+N13*$C$13)*3</f>
        <v>156.89999999999998</v>
      </c>
      <c r="M35" s="281">
        <f>SUM(I35:L35)</f>
        <v>421.2</v>
      </c>
      <c r="N35" s="284">
        <f>+M35/12</f>
        <v>35.1</v>
      </c>
      <c r="P35" s="4"/>
      <c r="Q35" s="4"/>
      <c r="S35">
        <f>+S34*0.875</f>
        <v>1505.6118000000001</v>
      </c>
      <c r="X35">
        <v>3</v>
      </c>
    </row>
    <row r="36" spans="3:24">
      <c r="C36">
        <v>22</v>
      </c>
      <c r="E36" s="275" t="s">
        <v>96</v>
      </c>
      <c r="F36" s="276"/>
      <c r="G36" s="276"/>
      <c r="H36" s="276"/>
      <c r="I36" s="240">
        <f>(+$C$18*H18+$C$19*H19+H20*$C$20+H21*$C$21)*3</f>
        <v>95.85</v>
      </c>
      <c r="J36" s="240">
        <f>(+$C$18*J18+$C$19*J19+J20*$C$20+J21*$C$21)*3</f>
        <v>117.89999999999999</v>
      </c>
      <c r="K36" s="240">
        <f>(+$C$18*L18+$C$19*L19+L20*$C$20+L21*$C$21)*3</f>
        <v>152.10000000000002</v>
      </c>
      <c r="L36" s="77">
        <f>(+$C$18*N18+$C$19*N19+N20*$C$20+N21*$C$21)*3</f>
        <v>175.95</v>
      </c>
      <c r="M36" s="283">
        <f>SUM(I36:L36)</f>
        <v>541.79999999999995</v>
      </c>
      <c r="N36" s="286">
        <f>+M36/12</f>
        <v>45.15</v>
      </c>
      <c r="V36">
        <v>14772</v>
      </c>
    </row>
    <row r="37" spans="3:24">
      <c r="C37">
        <f>+C35+C36</f>
        <v>23.5</v>
      </c>
      <c r="E37" s="275" t="s">
        <v>98</v>
      </c>
      <c r="F37" s="276"/>
      <c r="G37" s="276"/>
      <c r="H37" s="276"/>
      <c r="I37" s="118">
        <f>+I35+I36</f>
        <v>149.85</v>
      </c>
      <c r="J37" s="118">
        <f>+J35+J36</f>
        <v>205.8</v>
      </c>
      <c r="K37" s="118">
        <f>+K35+K36</f>
        <v>274.5</v>
      </c>
      <c r="L37" s="66">
        <f>+L35+L36</f>
        <v>332.84999999999997</v>
      </c>
      <c r="M37" s="281">
        <f>+M36+M35</f>
        <v>963</v>
      </c>
      <c r="N37" s="284">
        <f>SUM(N35:N36)</f>
        <v>80.25</v>
      </c>
    </row>
    <row r="38" spans="3:24" ht="13.5" thickBot="1">
      <c r="E38" s="277" t="s">
        <v>49</v>
      </c>
      <c r="F38" s="278"/>
      <c r="G38" s="278"/>
      <c r="H38" s="278"/>
      <c r="I38" s="69"/>
      <c r="J38" s="279">
        <f>+J37/I37-1</f>
        <v>0.37337337337337351</v>
      </c>
      <c r="K38" s="279">
        <f>+K37/J37-1</f>
        <v>0.33381924198250723</v>
      </c>
      <c r="L38" s="280">
        <f>+L37/K37-1</f>
        <v>0.21256830601092891</v>
      </c>
      <c r="M38" s="282"/>
      <c r="N38" s="282"/>
      <c r="Q38" s="5">
        <f>140000*11</f>
        <v>1540000</v>
      </c>
    </row>
    <row r="39" spans="3:24">
      <c r="L39" s="4"/>
      <c r="M39" s="4">
        <f>+P15/M35</f>
        <v>12.37948717948718</v>
      </c>
    </row>
    <row r="43" spans="3:24">
      <c r="I43" s="4">
        <f>+I11*$E$11+I12*$E$12+I13*$E$13</f>
        <v>134.77860000000001</v>
      </c>
      <c r="K43" s="4">
        <f>+K11*$E$11+K12*$E$12+K13*$E$13</f>
        <v>204.67259999999999</v>
      </c>
      <c r="M43" s="4">
        <f>+M11*$E$11+M12*$E$12+M13*$E$13</f>
        <v>280.26900000000001</v>
      </c>
      <c r="O43" s="4">
        <f>+O11*$E$11+O12*$E$12+O13*$E$13</f>
        <v>355.86540000000002</v>
      </c>
    </row>
  </sheetData>
  <mergeCells count="11">
    <mergeCell ref="AH5:AL5"/>
    <mergeCell ref="H4:O4"/>
    <mergeCell ref="H5:I5"/>
    <mergeCell ref="J5:K5"/>
    <mergeCell ref="L5:M5"/>
    <mergeCell ref="N5:O5"/>
    <mergeCell ref="A1:P1"/>
    <mergeCell ref="A2:P2"/>
    <mergeCell ref="S5:W5"/>
    <mergeCell ref="X5:AB5"/>
    <mergeCell ref="AC5:AG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&amp;L&amp;A&amp;C&amp;D&amp;R&amp;P from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theme="7" tint="0.39997558519241921"/>
  </sheetPr>
  <dimension ref="A3:P26"/>
  <sheetViews>
    <sheetView workbookViewId="0"/>
  </sheetViews>
  <sheetFormatPr defaultRowHeight="12.75"/>
  <cols>
    <col min="1" max="1" width="25.7109375" customWidth="1"/>
    <col min="2" max="2" width="11" customWidth="1"/>
    <col min="4" max="5" width="10.42578125" customWidth="1"/>
    <col min="6" max="6" width="10.42578125" hidden="1" customWidth="1"/>
    <col min="7" max="7" width="10.5703125" hidden="1" customWidth="1"/>
  </cols>
  <sheetData>
    <row r="3" spans="1:16" ht="13.5" thickBot="1"/>
    <row r="4" spans="1:16" s="28" customFormat="1" ht="39" thickBot="1">
      <c r="B4" s="32"/>
      <c r="C4" s="33" t="s">
        <v>27</v>
      </c>
      <c r="D4" s="34" t="s">
        <v>30</v>
      </c>
      <c r="E4" s="34" t="s">
        <v>20</v>
      </c>
      <c r="F4" s="35" t="s">
        <v>25</v>
      </c>
      <c r="G4" s="36" t="s">
        <v>26</v>
      </c>
      <c r="H4" s="894">
        <v>2011</v>
      </c>
      <c r="I4" s="895"/>
      <c r="J4" s="895"/>
      <c r="K4" s="895"/>
      <c r="L4" s="895"/>
      <c r="M4" s="895"/>
      <c r="N4" s="895"/>
      <c r="O4" s="896"/>
    </row>
    <row r="5" spans="1:16" s="28" customFormat="1" ht="13.5" thickBot="1">
      <c r="H5" s="897" t="s">
        <v>11</v>
      </c>
      <c r="I5" s="898"/>
      <c r="J5" s="899" t="s">
        <v>12</v>
      </c>
      <c r="K5" s="900"/>
      <c r="L5" s="897" t="s">
        <v>13</v>
      </c>
      <c r="M5" s="898"/>
      <c r="N5" s="899" t="s">
        <v>14</v>
      </c>
      <c r="O5" s="900"/>
      <c r="P5" s="54"/>
    </row>
    <row r="6" spans="1:16" s="28" customFormat="1" ht="13.5" thickBot="1">
      <c r="H6" s="29" t="s">
        <v>16</v>
      </c>
      <c r="I6" s="29" t="s">
        <v>15</v>
      </c>
      <c r="J6" s="30" t="s">
        <v>16</v>
      </c>
      <c r="K6" s="30" t="s">
        <v>15</v>
      </c>
      <c r="L6" s="29" t="s">
        <v>16</v>
      </c>
      <c r="M6" s="29" t="s">
        <v>15</v>
      </c>
      <c r="N6" s="30" t="s">
        <v>16</v>
      </c>
      <c r="O6" s="30" t="s">
        <v>15</v>
      </c>
      <c r="P6" s="48" t="s">
        <v>24</v>
      </c>
    </row>
    <row r="7" spans="1:16">
      <c r="H7" s="39"/>
      <c r="I7" s="40"/>
      <c r="J7" s="39"/>
      <c r="K7" s="40"/>
      <c r="L7" s="39"/>
      <c r="M7" s="40"/>
      <c r="N7" s="39"/>
      <c r="O7" s="40"/>
      <c r="P7" s="40"/>
    </row>
    <row r="8" spans="1:16">
      <c r="A8" s="31" t="s">
        <v>17</v>
      </c>
      <c r="D8">
        <v>7.7</v>
      </c>
      <c r="H8" s="46">
        <v>15</v>
      </c>
      <c r="I8" s="41">
        <f>+H8*$D8*3</f>
        <v>346.5</v>
      </c>
      <c r="J8" s="46">
        <v>18</v>
      </c>
      <c r="K8" s="41">
        <f>+J8*$D8*3</f>
        <v>415.79999999999995</v>
      </c>
      <c r="L8" s="46">
        <v>20</v>
      </c>
      <c r="M8" s="41">
        <f>+L8*$D8*3</f>
        <v>462</v>
      </c>
      <c r="N8" s="46">
        <v>22</v>
      </c>
      <c r="O8" s="41">
        <f>+N8*$D8*3</f>
        <v>508.20000000000005</v>
      </c>
      <c r="P8" s="40">
        <f>+O8+M8+K8+I8</f>
        <v>1732.5</v>
      </c>
    </row>
    <row r="9" spans="1:16">
      <c r="H9" s="46"/>
      <c r="I9" s="41"/>
      <c r="J9" s="46"/>
      <c r="K9" s="41"/>
      <c r="L9" s="46"/>
      <c r="M9" s="41"/>
      <c r="N9" s="46"/>
      <c r="O9" s="41"/>
      <c r="P9" s="40"/>
    </row>
    <row r="10" spans="1:16">
      <c r="A10" s="31" t="s">
        <v>18</v>
      </c>
      <c r="C10" s="37"/>
      <c r="H10" s="46"/>
      <c r="I10" s="41"/>
      <c r="J10" s="46"/>
      <c r="K10" s="41"/>
      <c r="L10" s="46"/>
      <c r="M10" s="41"/>
      <c r="N10" s="46"/>
      <c r="O10" s="41"/>
      <c r="P10" s="40"/>
    </row>
    <row r="11" spans="1:16">
      <c r="A11" t="s">
        <v>77</v>
      </c>
      <c r="C11" s="37">
        <v>0.2</v>
      </c>
      <c r="D11">
        <v>15</v>
      </c>
      <c r="E11" s="38">
        <v>0.33</v>
      </c>
      <c r="H11" s="46">
        <v>7</v>
      </c>
      <c r="I11" s="41">
        <f>+$D11*$C11*H11*(1+$E11)*3</f>
        <v>83.789999999999992</v>
      </c>
      <c r="J11" s="46">
        <v>9</v>
      </c>
      <c r="K11" s="41">
        <f>+$D11*$C11*J11*(1+$E11)*3</f>
        <v>107.73000000000002</v>
      </c>
      <c r="L11" s="46">
        <v>11</v>
      </c>
      <c r="M11" s="41">
        <f>+$D11*$C11*L11*(1+$E11)*3</f>
        <v>131.67000000000002</v>
      </c>
      <c r="N11" s="46">
        <v>12</v>
      </c>
      <c r="O11" s="41">
        <f>+$D11*$C11*N11*(1+$E11)*3</f>
        <v>143.64000000000001</v>
      </c>
      <c r="P11" s="49">
        <f>+O11+M11+K11+I11</f>
        <v>466.83000000000004</v>
      </c>
    </row>
    <row r="12" spans="1:16">
      <c r="A12" t="s">
        <v>10</v>
      </c>
      <c r="C12" s="37">
        <v>0.7</v>
      </c>
      <c r="D12">
        <v>15</v>
      </c>
      <c r="E12" s="38">
        <v>0.33</v>
      </c>
      <c r="H12" s="46">
        <v>1</v>
      </c>
      <c r="I12" s="41">
        <f>+$D12*$C12*H12*(1+$E12)*3</f>
        <v>41.894999999999996</v>
      </c>
      <c r="J12" s="46">
        <v>1</v>
      </c>
      <c r="K12" s="41">
        <f>+$D12*$C12*J12*(1+$E12)*3</f>
        <v>41.894999999999996</v>
      </c>
      <c r="L12" s="46">
        <v>3</v>
      </c>
      <c r="M12" s="41">
        <f>+$D12*$C12*L12*(1+$E12)*3</f>
        <v>125.685</v>
      </c>
      <c r="N12" s="46">
        <v>3</v>
      </c>
      <c r="O12" s="41">
        <f>+$D12*$C12*N12*(1+$E12)*3</f>
        <v>125.685</v>
      </c>
      <c r="P12" s="49">
        <f>+O12+M12+K12+I12</f>
        <v>335.15999999999997</v>
      </c>
    </row>
    <row r="13" spans="1:16" ht="13.5" thickBot="1">
      <c r="A13" t="s">
        <v>28</v>
      </c>
      <c r="C13" s="37">
        <v>1.5</v>
      </c>
      <c r="D13">
        <v>12</v>
      </c>
      <c r="E13" s="57">
        <v>0.33</v>
      </c>
      <c r="H13" s="56">
        <v>1</v>
      </c>
      <c r="I13" s="43">
        <f>+$D13*$C13*H13*(1+$E13)*3</f>
        <v>71.820000000000007</v>
      </c>
      <c r="J13" s="56">
        <v>2</v>
      </c>
      <c r="K13" s="43">
        <f>+$D13*$C13*J13*(1+$E13)*3</f>
        <v>143.64000000000001</v>
      </c>
      <c r="L13" s="56">
        <v>2</v>
      </c>
      <c r="M13" s="43">
        <f>+$D13*$C13*L13*(1+$E13)*3</f>
        <v>143.64000000000001</v>
      </c>
      <c r="N13" s="56">
        <v>3</v>
      </c>
      <c r="O13" s="43">
        <f>+$D13*$C13*N13*(1+$E13)*3</f>
        <v>215.46000000000004</v>
      </c>
      <c r="P13" s="49">
        <f>+O13+M13+K13+I13</f>
        <v>574.56000000000006</v>
      </c>
    </row>
    <row r="14" spans="1:16" ht="13.5" thickBot="1">
      <c r="C14" s="37"/>
      <c r="E14" s="38">
        <f>AVERAGE(E11:E13)</f>
        <v>0.33</v>
      </c>
      <c r="H14" s="44">
        <f t="shared" ref="H14:O14" si="0">SUM(H10:H13)</f>
        <v>9</v>
      </c>
      <c r="I14" s="45">
        <f t="shared" si="0"/>
        <v>197.505</v>
      </c>
      <c r="J14" s="44">
        <f t="shared" si="0"/>
        <v>12</v>
      </c>
      <c r="K14" s="45">
        <f t="shared" si="0"/>
        <v>293.26499999999999</v>
      </c>
      <c r="L14" s="44">
        <f t="shared" si="0"/>
        <v>16</v>
      </c>
      <c r="M14" s="45">
        <f t="shared" si="0"/>
        <v>400.995</v>
      </c>
      <c r="N14" s="44">
        <f t="shared" si="0"/>
        <v>18</v>
      </c>
      <c r="O14" s="45">
        <f t="shared" si="0"/>
        <v>484.78500000000008</v>
      </c>
      <c r="P14" s="55">
        <f>SUM(P11:P13)</f>
        <v>1376.5500000000002</v>
      </c>
    </row>
    <row r="15" spans="1:16">
      <c r="C15" s="37"/>
      <c r="H15" s="46"/>
      <c r="I15" s="41"/>
      <c r="J15" s="46"/>
      <c r="K15" s="41"/>
      <c r="L15" s="46"/>
      <c r="M15" s="41"/>
      <c r="N15" s="46"/>
      <c r="O15" s="41"/>
      <c r="P15" s="40"/>
    </row>
    <row r="16" spans="1:16">
      <c r="A16" s="31" t="s">
        <v>19</v>
      </c>
      <c r="C16" s="37"/>
      <c r="H16" s="46"/>
      <c r="I16" s="41"/>
      <c r="J16" s="46"/>
      <c r="K16" s="41"/>
      <c r="L16" s="46"/>
      <c r="M16" s="41"/>
      <c r="N16" s="46"/>
      <c r="O16" s="41"/>
      <c r="P16" s="40"/>
    </row>
    <row r="17" spans="1:16">
      <c r="A17" t="s">
        <v>77</v>
      </c>
      <c r="C17" s="37">
        <v>0.2</v>
      </c>
      <c r="D17">
        <v>12</v>
      </c>
      <c r="H17" s="46">
        <v>13</v>
      </c>
      <c r="I17" s="41">
        <f>+$D17*$C17*H17*(1+$E17)*3</f>
        <v>93.600000000000009</v>
      </c>
      <c r="J17" s="46">
        <v>18</v>
      </c>
      <c r="K17" s="41">
        <f>+$D17*$C17*J17*(1+$E17)*3</f>
        <v>129.60000000000002</v>
      </c>
      <c r="L17" s="46">
        <v>25</v>
      </c>
      <c r="M17" s="41">
        <f>+$D17*$C17*L17*(1+$E17)*3</f>
        <v>180.00000000000003</v>
      </c>
      <c r="N17" s="46">
        <v>28</v>
      </c>
      <c r="O17" s="41">
        <f>+$D17*$C17*N17*(1+$E17)*3</f>
        <v>201.60000000000005</v>
      </c>
      <c r="P17" s="49">
        <f>+O17+M17+K17+I17</f>
        <v>604.80000000000007</v>
      </c>
    </row>
    <row r="18" spans="1:16">
      <c r="A18" t="s">
        <v>10</v>
      </c>
      <c r="C18" s="37">
        <v>0.75</v>
      </c>
      <c r="D18">
        <v>11</v>
      </c>
      <c r="H18" s="46">
        <v>1</v>
      </c>
      <c r="I18" s="41">
        <f>+$D18*$C18*H18*(1+$E18)*3</f>
        <v>24.75</v>
      </c>
      <c r="J18" s="46">
        <v>1</v>
      </c>
      <c r="K18" s="41">
        <f>+$D18*$C18*J18*(1+$E18)*3</f>
        <v>24.75</v>
      </c>
      <c r="L18" s="46">
        <v>4</v>
      </c>
      <c r="M18" s="41">
        <f>+$D18*$C18*L18*(1+$E18)*3</f>
        <v>99</v>
      </c>
      <c r="N18" s="46">
        <v>5</v>
      </c>
      <c r="O18" s="41">
        <f>+$D18*$C18*N18*(1+$E18)*3</f>
        <v>123.75</v>
      </c>
      <c r="P18" s="49">
        <f>+O18+M18+K18+I18</f>
        <v>272.25</v>
      </c>
    </row>
    <row r="19" spans="1:16">
      <c r="A19" t="s">
        <v>22</v>
      </c>
      <c r="C19" s="37">
        <v>2.25</v>
      </c>
      <c r="D19">
        <v>9</v>
      </c>
      <c r="H19" s="46">
        <v>1</v>
      </c>
      <c r="I19" s="41">
        <f>+$D19*$C19*H19*(1+$E19)*3</f>
        <v>60.75</v>
      </c>
      <c r="J19" s="46">
        <v>2</v>
      </c>
      <c r="K19" s="41">
        <f>+$D19*$C19*J19*(1+$E19)*3</f>
        <v>121.5</v>
      </c>
      <c r="L19" s="46">
        <v>2</v>
      </c>
      <c r="M19" s="41">
        <f>+$D19*$C19*L19*(1+$E19)*3</f>
        <v>121.5</v>
      </c>
      <c r="N19" s="46">
        <v>3</v>
      </c>
      <c r="O19" s="41">
        <f>+$D19*$C19*N19*(1+$E19)*3</f>
        <v>182.25</v>
      </c>
      <c r="P19" s="49">
        <f>+O19+M19+K19+I19</f>
        <v>486</v>
      </c>
    </row>
    <row r="20" spans="1:16" ht="13.5" thickBot="1">
      <c r="A20" t="s">
        <v>29</v>
      </c>
      <c r="C20" s="37">
        <v>4</v>
      </c>
      <c r="D20">
        <v>7</v>
      </c>
      <c r="H20" s="56"/>
      <c r="I20" s="43"/>
      <c r="J20" s="56"/>
      <c r="K20" s="43"/>
      <c r="L20" s="56">
        <v>1</v>
      </c>
      <c r="M20" s="43">
        <f>+$D20*$C20*L20*(1+$E20)*3</f>
        <v>84</v>
      </c>
      <c r="N20" s="56">
        <v>1</v>
      </c>
      <c r="O20" s="43">
        <f>+$D20*$C20*N20*(1+$E20)*3</f>
        <v>84</v>
      </c>
      <c r="P20" s="49">
        <f>+O20+M20+K20+I20</f>
        <v>168</v>
      </c>
    </row>
    <row r="21" spans="1:16" ht="13.5" thickBot="1">
      <c r="C21" s="37"/>
      <c r="H21" s="44">
        <f>SUM(H17:H20)</f>
        <v>15</v>
      </c>
      <c r="I21" s="45">
        <f t="shared" ref="I21:O21" si="1">SUM(I17:I20)</f>
        <v>179.10000000000002</v>
      </c>
      <c r="J21" s="44">
        <f t="shared" si="1"/>
        <v>21</v>
      </c>
      <c r="K21" s="45">
        <f t="shared" si="1"/>
        <v>275.85000000000002</v>
      </c>
      <c r="L21" s="44">
        <f t="shared" si="1"/>
        <v>32</v>
      </c>
      <c r="M21" s="45">
        <f t="shared" si="1"/>
        <v>484.5</v>
      </c>
      <c r="N21" s="44">
        <f t="shared" si="1"/>
        <v>37</v>
      </c>
      <c r="O21" s="45">
        <f t="shared" si="1"/>
        <v>591.6</v>
      </c>
      <c r="P21" s="55">
        <f>SUM(P17:P20)</f>
        <v>1531.0500000000002</v>
      </c>
    </row>
    <row r="22" spans="1:16">
      <c r="C22" s="37"/>
      <c r="H22" s="46"/>
      <c r="I22" s="41"/>
      <c r="J22" s="46"/>
      <c r="K22" s="41"/>
      <c r="L22" s="46"/>
      <c r="M22" s="41"/>
      <c r="N22" s="46"/>
      <c r="O22" s="41"/>
      <c r="P22" s="40"/>
    </row>
    <row r="23" spans="1:16">
      <c r="A23" s="31" t="s">
        <v>21</v>
      </c>
      <c r="D23">
        <v>3</v>
      </c>
      <c r="H23" s="46">
        <v>18</v>
      </c>
      <c r="I23" s="41">
        <f>+H23*$D$23*3</f>
        <v>162</v>
      </c>
      <c r="J23" s="46">
        <v>26</v>
      </c>
      <c r="K23" s="41">
        <f>+J23*$D$23*3</f>
        <v>234</v>
      </c>
      <c r="L23" s="46">
        <v>35</v>
      </c>
      <c r="M23" s="41">
        <f>+L23*$D$23*3</f>
        <v>315</v>
      </c>
      <c r="N23" s="46">
        <v>45</v>
      </c>
      <c r="O23" s="41">
        <f>+N23*$D$23*3</f>
        <v>405</v>
      </c>
      <c r="P23" s="41">
        <f>+O23+M23+K23+I23</f>
        <v>1116</v>
      </c>
    </row>
    <row r="24" spans="1:16">
      <c r="A24" s="31" t="s">
        <v>31</v>
      </c>
      <c r="D24">
        <v>22</v>
      </c>
      <c r="H24" s="46">
        <f>+J23-H23</f>
        <v>8</v>
      </c>
      <c r="I24" s="41">
        <f>+H24*$D24</f>
        <v>176</v>
      </c>
      <c r="J24" s="46">
        <f>+L23-J23</f>
        <v>9</v>
      </c>
      <c r="K24" s="41">
        <f>+J24*$D24</f>
        <v>198</v>
      </c>
      <c r="L24" s="46">
        <f>+N23-L23</f>
        <v>10</v>
      </c>
      <c r="M24" s="41">
        <f>+L24*$D24</f>
        <v>220</v>
      </c>
      <c r="N24" s="46">
        <f>+'Detailed Sales 2012old'!H24-'Detailed Sales 2011'!N23</f>
        <v>2</v>
      </c>
      <c r="O24" s="41">
        <f>+N24*D24</f>
        <v>44</v>
      </c>
      <c r="P24" s="41">
        <f>+O24+M24+K24+I24</f>
        <v>638</v>
      </c>
    </row>
    <row r="25" spans="1:16">
      <c r="H25" s="42"/>
      <c r="I25" s="47"/>
      <c r="J25" s="42"/>
      <c r="K25" s="47"/>
      <c r="L25" s="42"/>
      <c r="M25" s="47"/>
      <c r="N25" s="42"/>
      <c r="O25" s="47"/>
      <c r="P25" s="47"/>
    </row>
    <row r="26" spans="1:16" s="53" customFormat="1">
      <c r="A26" s="50" t="s">
        <v>23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>
        <f>+P24+P23+P21+P14+P8</f>
        <v>6394.1</v>
      </c>
    </row>
  </sheetData>
  <mergeCells count="5">
    <mergeCell ref="H4:O4"/>
    <mergeCell ref="H5:I5"/>
    <mergeCell ref="J5:K5"/>
    <mergeCell ref="L5:M5"/>
    <mergeCell ref="N5:O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theme="7" tint="0.39997558519241921"/>
  </sheetPr>
  <dimension ref="A3:P26"/>
  <sheetViews>
    <sheetView workbookViewId="0"/>
  </sheetViews>
  <sheetFormatPr defaultRowHeight="12.75"/>
  <cols>
    <col min="1" max="1" width="25.7109375" customWidth="1"/>
    <col min="2" max="2" width="11" customWidth="1"/>
    <col min="4" max="5" width="10.42578125" customWidth="1"/>
    <col min="6" max="6" width="10.42578125" hidden="1" customWidth="1"/>
    <col min="7" max="7" width="10.5703125" hidden="1" customWidth="1"/>
  </cols>
  <sheetData>
    <row r="3" spans="1:16" ht="13.5" thickBot="1"/>
    <row r="4" spans="1:16" s="28" customFormat="1" ht="39" thickBot="1">
      <c r="B4" s="32"/>
      <c r="C4" s="33" t="s">
        <v>27</v>
      </c>
      <c r="D4" s="34" t="s">
        <v>30</v>
      </c>
      <c r="E4" s="34" t="s">
        <v>20</v>
      </c>
      <c r="F4" s="35" t="s">
        <v>25</v>
      </c>
      <c r="G4" s="36" t="s">
        <v>26</v>
      </c>
      <c r="H4" s="894">
        <v>2013</v>
      </c>
      <c r="I4" s="895"/>
      <c r="J4" s="895"/>
      <c r="K4" s="895"/>
      <c r="L4" s="895"/>
      <c r="M4" s="895"/>
      <c r="N4" s="895"/>
      <c r="O4" s="896"/>
    </row>
    <row r="5" spans="1:16" s="28" customFormat="1" ht="13.5" thickBot="1">
      <c r="H5" s="897" t="s">
        <v>11</v>
      </c>
      <c r="I5" s="898"/>
      <c r="J5" s="899" t="s">
        <v>12</v>
      </c>
      <c r="K5" s="900"/>
      <c r="L5" s="897" t="s">
        <v>13</v>
      </c>
      <c r="M5" s="898"/>
      <c r="N5" s="899" t="s">
        <v>14</v>
      </c>
      <c r="O5" s="900"/>
      <c r="P5" s="54"/>
    </row>
    <row r="6" spans="1:16" s="28" customFormat="1" ht="13.5" thickBot="1">
      <c r="H6" s="29" t="s">
        <v>16</v>
      </c>
      <c r="I6" s="29" t="s">
        <v>15</v>
      </c>
      <c r="J6" s="30" t="s">
        <v>16</v>
      </c>
      <c r="K6" s="30" t="s">
        <v>15</v>
      </c>
      <c r="L6" s="29" t="s">
        <v>16</v>
      </c>
      <c r="M6" s="29" t="s">
        <v>15</v>
      </c>
      <c r="N6" s="30" t="s">
        <v>16</v>
      </c>
      <c r="O6" s="30" t="s">
        <v>15</v>
      </c>
      <c r="P6" s="48" t="s">
        <v>24</v>
      </c>
    </row>
    <row r="7" spans="1:16">
      <c r="H7" s="39"/>
      <c r="I7" s="40"/>
      <c r="J7" s="39"/>
      <c r="K7" s="40"/>
      <c r="L7" s="39"/>
      <c r="M7" s="40"/>
      <c r="N7" s="39"/>
      <c r="O7" s="40"/>
      <c r="P7" s="40"/>
    </row>
    <row r="8" spans="1:16">
      <c r="A8" s="31" t="s">
        <v>17</v>
      </c>
      <c r="C8" s="37"/>
      <c r="D8">
        <v>7.7</v>
      </c>
      <c r="H8" s="46">
        <v>29</v>
      </c>
      <c r="I8" s="41">
        <f>+H8*$D8*3</f>
        <v>669.90000000000009</v>
      </c>
      <c r="J8" s="46">
        <v>30</v>
      </c>
      <c r="K8" s="41">
        <f>+J8*$D8*3</f>
        <v>693</v>
      </c>
      <c r="L8" s="46">
        <v>32</v>
      </c>
      <c r="M8" s="41">
        <f>+L8*$D8*3</f>
        <v>739.2</v>
      </c>
      <c r="N8" s="46">
        <v>34</v>
      </c>
      <c r="O8" s="41">
        <f>+N8*$D8*3</f>
        <v>785.40000000000009</v>
      </c>
      <c r="P8" s="41">
        <f>+O8+M8+K8+I8</f>
        <v>2887.5000000000005</v>
      </c>
    </row>
    <row r="9" spans="1:16">
      <c r="C9" s="37"/>
      <c r="H9" s="46"/>
      <c r="I9" s="41"/>
      <c r="J9" s="46"/>
      <c r="K9" s="41"/>
      <c r="L9" s="46"/>
      <c r="M9" s="41"/>
      <c r="N9" s="46"/>
      <c r="O9" s="41"/>
      <c r="P9" s="40"/>
    </row>
    <row r="10" spans="1:16">
      <c r="A10" s="31" t="s">
        <v>18</v>
      </c>
      <c r="C10" s="37"/>
      <c r="H10" s="46"/>
      <c r="I10" s="41"/>
      <c r="J10" s="46"/>
      <c r="K10" s="41"/>
      <c r="L10" s="46"/>
      <c r="M10" s="41"/>
      <c r="N10" s="46"/>
      <c r="O10" s="41"/>
      <c r="P10" s="40"/>
    </row>
    <row r="11" spans="1:16">
      <c r="A11" t="s">
        <v>77</v>
      </c>
      <c r="C11" s="37">
        <v>0.4</v>
      </c>
      <c r="D11">
        <v>15</v>
      </c>
      <c r="E11" s="38">
        <v>0.33</v>
      </c>
      <c r="H11" s="46">
        <v>25</v>
      </c>
      <c r="I11" s="41">
        <f>+$D11*$C11*H11*(1+$E11)*3</f>
        <v>598.5</v>
      </c>
      <c r="J11" s="46">
        <v>27</v>
      </c>
      <c r="K11" s="41">
        <f>+$D11*$C11*J11*(1+$E11)*3</f>
        <v>646.38</v>
      </c>
      <c r="L11" s="46">
        <v>29</v>
      </c>
      <c r="M11" s="41">
        <f>+$D11*$C11*L11*(1+$E11)*3</f>
        <v>694.26</v>
      </c>
      <c r="N11" s="46">
        <v>32</v>
      </c>
      <c r="O11" s="41">
        <f>+$D11*$C11*N11*(1+$E11)*3</f>
        <v>766.08</v>
      </c>
      <c r="P11" s="49">
        <f>+O11+M11+K11+I11</f>
        <v>2705.2200000000003</v>
      </c>
    </row>
    <row r="12" spans="1:16">
      <c r="A12" t="s">
        <v>10</v>
      </c>
      <c r="C12" s="37">
        <v>0.9</v>
      </c>
      <c r="D12">
        <v>15</v>
      </c>
      <c r="E12" s="38">
        <v>0.33</v>
      </c>
      <c r="H12" s="46">
        <v>13</v>
      </c>
      <c r="I12" s="41">
        <f>+$D12*$C12*H12*(1+$E12)*3</f>
        <v>700.24500000000012</v>
      </c>
      <c r="J12" s="46">
        <v>14</v>
      </c>
      <c r="K12" s="41">
        <f>+$D12*$C12*J12*(1+$E12)*3</f>
        <v>754.11</v>
      </c>
      <c r="L12" s="46">
        <v>15</v>
      </c>
      <c r="M12" s="41">
        <f>+$D12*$C12*L12*(1+$E12)*3</f>
        <v>807.97499999999991</v>
      </c>
      <c r="N12" s="46">
        <v>17</v>
      </c>
      <c r="O12" s="41">
        <f>+$D12*$C12*N12*(1+$E12)*3</f>
        <v>915.70500000000004</v>
      </c>
      <c r="P12" s="49">
        <f>+O12+M12+K12+I12</f>
        <v>3178.0349999999999</v>
      </c>
    </row>
    <row r="13" spans="1:16" ht="13.5" thickBot="1">
      <c r="A13" t="s">
        <v>28</v>
      </c>
      <c r="C13" s="37">
        <v>2</v>
      </c>
      <c r="D13">
        <v>12</v>
      </c>
      <c r="E13" s="57">
        <v>0.33</v>
      </c>
      <c r="H13" s="56">
        <v>13</v>
      </c>
      <c r="I13" s="43">
        <f>+$D13*$C13*H13*(1+$E13)*3</f>
        <v>1244.8800000000001</v>
      </c>
      <c r="J13" s="56">
        <v>14</v>
      </c>
      <c r="K13" s="43">
        <f>+$D13*$C13*J13*(1+$E13)*3</f>
        <v>1340.6399999999999</v>
      </c>
      <c r="L13" s="56">
        <v>15</v>
      </c>
      <c r="M13" s="43">
        <f>+$D13*$C13*L13*(1+$E13)*3</f>
        <v>1436.4</v>
      </c>
      <c r="N13" s="56">
        <v>16</v>
      </c>
      <c r="O13" s="43">
        <f>+$D13*$C13*N13*(1+$E13)*3</f>
        <v>1532.16</v>
      </c>
      <c r="P13" s="49">
        <f>+O13+M13+K13+I13</f>
        <v>5554.0800000000008</v>
      </c>
    </row>
    <row r="14" spans="1:16" ht="13.5" thickBot="1">
      <c r="C14" s="37"/>
      <c r="E14" s="38">
        <f>AVERAGE(E11:E13)</f>
        <v>0.33</v>
      </c>
      <c r="H14" s="44">
        <f>SUM(H10:H13)</f>
        <v>51</v>
      </c>
      <c r="I14" s="45">
        <f t="shared" ref="I14:O14" si="0">SUM(I10:I13)</f>
        <v>2543.625</v>
      </c>
      <c r="J14" s="44">
        <f t="shared" si="0"/>
        <v>55</v>
      </c>
      <c r="K14" s="45">
        <f t="shared" si="0"/>
        <v>2741.13</v>
      </c>
      <c r="L14" s="44">
        <f t="shared" si="0"/>
        <v>59</v>
      </c>
      <c r="M14" s="45">
        <f t="shared" si="0"/>
        <v>2938.6350000000002</v>
      </c>
      <c r="N14" s="44">
        <f t="shared" si="0"/>
        <v>65</v>
      </c>
      <c r="O14" s="45">
        <f t="shared" si="0"/>
        <v>3213.9450000000002</v>
      </c>
      <c r="P14" s="55">
        <f>SUM(P11:P13)</f>
        <v>11437.335000000001</v>
      </c>
    </row>
    <row r="15" spans="1:16">
      <c r="C15" s="37"/>
      <c r="H15" s="46"/>
      <c r="I15" s="41"/>
      <c r="J15" s="46"/>
      <c r="K15" s="41"/>
      <c r="L15" s="46"/>
      <c r="M15" s="41"/>
      <c r="N15" s="46"/>
      <c r="O15" s="41"/>
      <c r="P15" s="40"/>
    </row>
    <row r="16" spans="1:16">
      <c r="A16" s="31" t="s">
        <v>19</v>
      </c>
      <c r="C16" s="37"/>
      <c r="H16" s="46"/>
      <c r="I16" s="41"/>
      <c r="J16" s="46"/>
      <c r="K16" s="41"/>
      <c r="L16" s="46"/>
      <c r="M16" s="41"/>
      <c r="N16" s="46"/>
      <c r="O16" s="41"/>
      <c r="P16" s="40"/>
    </row>
    <row r="17" spans="1:16">
      <c r="A17" t="s">
        <v>77</v>
      </c>
      <c r="C17" s="37">
        <v>0.4</v>
      </c>
      <c r="D17">
        <v>12</v>
      </c>
      <c r="H17" s="46">
        <v>52</v>
      </c>
      <c r="I17" s="41">
        <f>+$D17*$C17*H17*(1+$E17)*3</f>
        <v>748.80000000000007</v>
      </c>
      <c r="J17" s="46">
        <v>54</v>
      </c>
      <c r="K17" s="41">
        <f>+$D17*$C17*J17*(1+$E17)*3</f>
        <v>777.60000000000014</v>
      </c>
      <c r="L17" s="46">
        <v>56</v>
      </c>
      <c r="M17" s="41">
        <f>+$D17*$C17*L17*(1+$E17)*3</f>
        <v>806.4000000000002</v>
      </c>
      <c r="N17" s="46">
        <v>58</v>
      </c>
      <c r="O17" s="41">
        <f>+$D17*$C17*N17*(1+$E17)*3</f>
        <v>835.2</v>
      </c>
      <c r="P17" s="49">
        <f>+O17+M17+K17+I17</f>
        <v>3168.0000000000009</v>
      </c>
    </row>
    <row r="18" spans="1:16">
      <c r="A18" t="s">
        <v>10</v>
      </c>
      <c r="C18" s="37">
        <v>1.5</v>
      </c>
      <c r="D18">
        <v>11</v>
      </c>
      <c r="H18" s="46">
        <v>22</v>
      </c>
      <c r="I18" s="41">
        <f>+$D18*$C18*H18*(1+$E18)*3</f>
        <v>1089</v>
      </c>
      <c r="J18" s="46">
        <v>25</v>
      </c>
      <c r="K18" s="41">
        <f>+$D18*$C18*J18*(1+$E18)*3</f>
        <v>1237.5</v>
      </c>
      <c r="L18" s="46">
        <v>28</v>
      </c>
      <c r="M18" s="41">
        <f>+$D18*$C18*L18*(1+$E18)*3</f>
        <v>1386</v>
      </c>
      <c r="N18" s="46">
        <v>31</v>
      </c>
      <c r="O18" s="41">
        <f>+$D18*$C18*N18*(1+$E18)*3</f>
        <v>1534.5</v>
      </c>
      <c r="P18" s="49">
        <f>+O18+M18+K18+I18</f>
        <v>5247</v>
      </c>
    </row>
    <row r="19" spans="1:16">
      <c r="A19" t="s">
        <v>22</v>
      </c>
      <c r="C19" s="37">
        <v>3</v>
      </c>
      <c r="D19">
        <v>9</v>
      </c>
      <c r="H19" s="46">
        <v>4</v>
      </c>
      <c r="I19" s="41">
        <f>+$D19*$C19*H19*(1+$E19)*3</f>
        <v>324</v>
      </c>
      <c r="J19" s="46">
        <v>5</v>
      </c>
      <c r="K19" s="41">
        <f>+$D19*$C19*J19*(1+$E19)*3</f>
        <v>405</v>
      </c>
      <c r="L19" s="46">
        <v>6</v>
      </c>
      <c r="M19" s="41">
        <f>+$D19*$C19*L19*(1+$E19)*3</f>
        <v>486</v>
      </c>
      <c r="N19" s="46">
        <v>8</v>
      </c>
      <c r="O19" s="41">
        <f>+$D19*$C19*N19*(1+$E19)*3</f>
        <v>648</v>
      </c>
      <c r="P19" s="49">
        <f>+O19+M19+K19+I19</f>
        <v>1863</v>
      </c>
    </row>
    <row r="20" spans="1:16" ht="13.5" thickBot="1">
      <c r="A20" t="s">
        <v>29</v>
      </c>
      <c r="C20" s="37">
        <v>4.7</v>
      </c>
      <c r="D20">
        <v>7</v>
      </c>
      <c r="H20" s="56">
        <v>4</v>
      </c>
      <c r="I20" s="43"/>
      <c r="J20" s="56">
        <v>5</v>
      </c>
      <c r="K20" s="43"/>
      <c r="L20" s="56">
        <v>6</v>
      </c>
      <c r="M20" s="43">
        <f>+$D20*$C20*L20*(1+$E20)*3</f>
        <v>592.19999999999993</v>
      </c>
      <c r="N20" s="56">
        <v>7</v>
      </c>
      <c r="O20" s="43">
        <f>+$D20*$C20*N20*(1+$E20)*3</f>
        <v>690.9</v>
      </c>
      <c r="P20" s="49">
        <f>+O20+M20+K20+I20</f>
        <v>1283.0999999999999</v>
      </c>
    </row>
    <row r="21" spans="1:16" ht="13.5" thickBot="1">
      <c r="C21" s="37"/>
      <c r="H21" s="44">
        <f>SUM(H17:H20)</f>
        <v>82</v>
      </c>
      <c r="I21" s="45">
        <f t="shared" ref="I21:O21" si="1">SUM(I17:I20)</f>
        <v>2161.8000000000002</v>
      </c>
      <c r="J21" s="44">
        <f t="shared" si="1"/>
        <v>89</v>
      </c>
      <c r="K21" s="45">
        <f t="shared" si="1"/>
        <v>2420.1000000000004</v>
      </c>
      <c r="L21" s="44">
        <f t="shared" si="1"/>
        <v>96</v>
      </c>
      <c r="M21" s="45">
        <f t="shared" si="1"/>
        <v>3270.6</v>
      </c>
      <c r="N21" s="44">
        <f t="shared" si="1"/>
        <v>104</v>
      </c>
      <c r="O21" s="45">
        <f t="shared" si="1"/>
        <v>3708.6</v>
      </c>
      <c r="P21" s="55">
        <f>SUM(P17:P20)</f>
        <v>11561.1</v>
      </c>
    </row>
    <row r="22" spans="1:16">
      <c r="C22" s="37"/>
      <c r="H22" s="46"/>
      <c r="I22" s="41"/>
      <c r="J22" s="46"/>
      <c r="K22" s="41"/>
      <c r="L22" s="46"/>
      <c r="M22" s="41"/>
      <c r="N22" s="46"/>
      <c r="O22" s="41"/>
      <c r="P22" s="40"/>
    </row>
    <row r="23" spans="1:16">
      <c r="A23" s="31" t="s">
        <v>21</v>
      </c>
      <c r="C23" s="37"/>
      <c r="D23">
        <v>3.5</v>
      </c>
      <c r="H23" s="46">
        <v>90</v>
      </c>
      <c r="I23" s="41">
        <f>+H23*$D$23*3</f>
        <v>945</v>
      </c>
      <c r="J23" s="46">
        <v>97</v>
      </c>
      <c r="K23" s="41">
        <f>+J23*$D$23*3</f>
        <v>1018.5</v>
      </c>
      <c r="L23" s="46">
        <v>104</v>
      </c>
      <c r="M23" s="41">
        <f>+L23*$D$23*3</f>
        <v>1092</v>
      </c>
      <c r="N23" s="46">
        <v>111</v>
      </c>
      <c r="O23" s="41">
        <f>+N23*$D$23*3</f>
        <v>1165.5</v>
      </c>
      <c r="P23" s="41">
        <f>+O23+M23+K23+I23</f>
        <v>4221</v>
      </c>
    </row>
    <row r="24" spans="1:16">
      <c r="A24" s="31" t="s">
        <v>31</v>
      </c>
      <c r="D24">
        <v>25</v>
      </c>
      <c r="H24" s="46">
        <f>+J23-H23</f>
        <v>7</v>
      </c>
      <c r="I24" s="41">
        <f>+H24*$D24</f>
        <v>175</v>
      </c>
      <c r="J24" s="46">
        <f>+L23-J23</f>
        <v>7</v>
      </c>
      <c r="K24" s="41">
        <f>+J24*$D24</f>
        <v>175</v>
      </c>
      <c r="L24" s="46">
        <f>+N23-L23</f>
        <v>7</v>
      </c>
      <c r="M24" s="41">
        <f>+L24*$D24</f>
        <v>175</v>
      </c>
      <c r="N24" s="46">
        <v>7</v>
      </c>
      <c r="O24" s="41">
        <f>+N24*D24</f>
        <v>175</v>
      </c>
      <c r="P24" s="41">
        <f>+O24+M24+K24+I24</f>
        <v>700</v>
      </c>
    </row>
    <row r="25" spans="1:16">
      <c r="H25" s="42"/>
      <c r="I25" s="47"/>
      <c r="J25" s="42"/>
      <c r="K25" s="47"/>
      <c r="L25" s="42"/>
      <c r="M25" s="47"/>
      <c r="N25" s="42"/>
      <c r="O25" s="47"/>
      <c r="P25" s="47"/>
    </row>
    <row r="26" spans="1:16" s="53" customFormat="1">
      <c r="A26" s="50" t="s">
        <v>23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>
        <f>+P24+P23+P21+P14+P8</f>
        <v>30806.934999999998</v>
      </c>
    </row>
  </sheetData>
  <mergeCells count="5">
    <mergeCell ref="H4:O4"/>
    <mergeCell ref="H5:I5"/>
    <mergeCell ref="J5:K5"/>
    <mergeCell ref="L5:M5"/>
    <mergeCell ref="N5:O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theme="9" tint="-0.249977111117893"/>
  </sheetPr>
  <dimension ref="A3:V49"/>
  <sheetViews>
    <sheetView workbookViewId="0"/>
  </sheetViews>
  <sheetFormatPr defaultRowHeight="12.75"/>
  <cols>
    <col min="1" max="1" width="28.7109375" bestFit="1" customWidth="1"/>
    <col min="2" max="2" width="10.28515625" customWidth="1"/>
    <col min="3" max="4" width="9.5703125" customWidth="1"/>
    <col min="6" max="6" width="10.28515625" customWidth="1"/>
    <col min="15" max="15" width="10.28515625" customWidth="1"/>
    <col min="19" max="19" width="9.7109375" customWidth="1"/>
    <col min="20" max="20" width="10.5703125" customWidth="1"/>
  </cols>
  <sheetData>
    <row r="3" spans="1:22" ht="13.5" thickBot="1">
      <c r="B3" s="901">
        <v>2011</v>
      </c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</row>
    <row r="4" spans="1:22">
      <c r="B4" s="905" t="s">
        <v>11</v>
      </c>
      <c r="C4" s="906"/>
      <c r="D4" s="906"/>
      <c r="E4" s="907"/>
      <c r="F4" s="908" t="s">
        <v>12</v>
      </c>
      <c r="G4" s="909"/>
      <c r="H4" s="909"/>
      <c r="I4" s="910"/>
      <c r="J4" s="905" t="s">
        <v>13</v>
      </c>
      <c r="K4" s="906"/>
      <c r="L4" s="906"/>
      <c r="M4" s="907"/>
      <c r="N4" s="908" t="s">
        <v>14</v>
      </c>
      <c r="O4" s="909"/>
      <c r="P4" s="909"/>
      <c r="Q4" s="910"/>
      <c r="R4" s="902" t="s">
        <v>48</v>
      </c>
      <c r="S4" s="903"/>
      <c r="T4" s="904"/>
    </row>
    <row r="5" spans="1:22" ht="36" customHeight="1">
      <c r="B5" s="62" t="s">
        <v>46</v>
      </c>
      <c r="C5" s="59" t="s">
        <v>47</v>
      </c>
      <c r="D5" s="59" t="s">
        <v>49</v>
      </c>
      <c r="E5" s="63" t="s">
        <v>48</v>
      </c>
      <c r="F5" s="71" t="s">
        <v>46</v>
      </c>
      <c r="G5" s="58" t="s">
        <v>47</v>
      </c>
      <c r="H5" s="58" t="s">
        <v>49</v>
      </c>
      <c r="I5" s="72" t="s">
        <v>48</v>
      </c>
      <c r="J5" s="73" t="s">
        <v>46</v>
      </c>
      <c r="K5" s="60" t="s">
        <v>47</v>
      </c>
      <c r="L5" s="59" t="s">
        <v>49</v>
      </c>
      <c r="M5" s="74" t="s">
        <v>48</v>
      </c>
      <c r="N5" s="71" t="s">
        <v>46</v>
      </c>
      <c r="O5" s="58" t="s">
        <v>47</v>
      </c>
      <c r="P5" s="58" t="s">
        <v>49</v>
      </c>
      <c r="Q5" s="72" t="s">
        <v>48</v>
      </c>
      <c r="R5" s="82" t="s">
        <v>46</v>
      </c>
      <c r="S5" s="83" t="s">
        <v>48</v>
      </c>
      <c r="T5" s="84" t="s">
        <v>50</v>
      </c>
      <c r="U5" s="38"/>
      <c r="V5" s="31" t="s">
        <v>65</v>
      </c>
    </row>
    <row r="6" spans="1:22">
      <c r="B6" s="64"/>
      <c r="C6" s="26"/>
      <c r="D6" s="26"/>
      <c r="E6" s="65"/>
      <c r="F6" s="64"/>
      <c r="G6" s="26"/>
      <c r="H6" s="26"/>
      <c r="I6" s="65"/>
      <c r="J6" s="64"/>
      <c r="K6" s="26"/>
      <c r="L6" s="26"/>
      <c r="M6" s="65"/>
      <c r="N6" s="64"/>
      <c r="O6" s="26"/>
      <c r="P6" s="26"/>
      <c r="Q6" s="65"/>
      <c r="R6" s="64"/>
      <c r="S6" s="26"/>
      <c r="T6" s="65"/>
      <c r="U6" s="61">
        <v>0.01</v>
      </c>
      <c r="V6" t="s">
        <v>55</v>
      </c>
    </row>
    <row r="7" spans="1:22">
      <c r="B7" s="64"/>
      <c r="C7" s="26"/>
      <c r="D7" s="26"/>
      <c r="E7" s="65"/>
      <c r="F7" s="64"/>
      <c r="G7" s="26"/>
      <c r="H7" s="26"/>
      <c r="I7" s="65"/>
      <c r="J7" s="64"/>
      <c r="K7" s="26"/>
      <c r="L7" s="26"/>
      <c r="M7" s="65"/>
      <c r="N7" s="64"/>
      <c r="O7" s="26"/>
      <c r="P7" s="26"/>
      <c r="Q7" s="65"/>
      <c r="R7" s="64"/>
      <c r="S7" s="93" t="s">
        <v>66</v>
      </c>
      <c r="T7" s="94">
        <v>3.6</v>
      </c>
      <c r="U7" s="61">
        <v>4.7E-2</v>
      </c>
      <c r="V7" t="s">
        <v>54</v>
      </c>
    </row>
    <row r="8" spans="1:22">
      <c r="A8" s="96" t="s">
        <v>34</v>
      </c>
      <c r="B8" s="97"/>
      <c r="C8" s="98"/>
      <c r="D8" s="26"/>
      <c r="E8" s="66"/>
      <c r="F8" s="64"/>
      <c r="G8" s="26"/>
      <c r="H8" s="26"/>
      <c r="I8" s="65"/>
      <c r="J8" s="64"/>
      <c r="K8" s="26"/>
      <c r="L8" s="26"/>
      <c r="M8" s="65"/>
      <c r="N8" s="64"/>
      <c r="O8" s="26"/>
      <c r="P8" s="26"/>
      <c r="Q8" s="65"/>
      <c r="R8" s="64"/>
      <c r="S8" s="26"/>
      <c r="T8" s="65"/>
      <c r="U8" s="61">
        <v>0.05</v>
      </c>
      <c r="V8" t="s">
        <v>51</v>
      </c>
    </row>
    <row r="9" spans="1:22">
      <c r="A9" s="27" t="s">
        <v>35</v>
      </c>
      <c r="B9" s="97">
        <v>1</v>
      </c>
      <c r="C9" s="99">
        <v>23</v>
      </c>
      <c r="D9" s="67">
        <f>+U17</f>
        <v>1.3753</v>
      </c>
      <c r="E9" s="66">
        <f>+B9*C9*D9*3</f>
        <v>94.895699999999991</v>
      </c>
      <c r="F9" s="64">
        <v>1</v>
      </c>
      <c r="G9" s="76">
        <f>+C9</f>
        <v>23</v>
      </c>
      <c r="H9" s="67">
        <f>+D9</f>
        <v>1.3753</v>
      </c>
      <c r="I9" s="66">
        <f>+F9*G9*H9*3</f>
        <v>94.895699999999991</v>
      </c>
      <c r="J9" s="64">
        <v>1</v>
      </c>
      <c r="K9" s="76">
        <f>+G9</f>
        <v>23</v>
      </c>
      <c r="L9" s="67">
        <f>+D9</f>
        <v>1.3753</v>
      </c>
      <c r="M9" s="66">
        <f>+J9*K9*L9*3</f>
        <v>94.895699999999991</v>
      </c>
      <c r="N9" s="64">
        <v>1</v>
      </c>
      <c r="O9" s="76">
        <f>+K9</f>
        <v>23</v>
      </c>
      <c r="P9" s="67">
        <f>+D9</f>
        <v>1.3753</v>
      </c>
      <c r="Q9" s="66">
        <f>+N9*O9*P9*3</f>
        <v>94.895699999999991</v>
      </c>
      <c r="R9" s="85">
        <f>(+N9+J9+F9+B9)/4</f>
        <v>1</v>
      </c>
      <c r="S9" s="81">
        <f>+Q9+M9+I9+E9</f>
        <v>379.58279999999996</v>
      </c>
      <c r="T9" s="66">
        <f>+S9/$T$7</f>
        <v>105.43966666666665</v>
      </c>
      <c r="U9" s="61">
        <v>8.3299999999999999E-2</v>
      </c>
      <c r="V9" t="s">
        <v>52</v>
      </c>
    </row>
    <row r="10" spans="1:22">
      <c r="A10" s="27" t="s">
        <v>36</v>
      </c>
      <c r="B10" s="97">
        <v>1</v>
      </c>
      <c r="C10" s="99">
        <v>12.5</v>
      </c>
      <c r="D10" s="67">
        <f>+U18</f>
        <v>1.3003</v>
      </c>
      <c r="E10" s="66">
        <f>+B10*C10*D10*3</f>
        <v>48.761250000000004</v>
      </c>
      <c r="F10" s="64">
        <v>1</v>
      </c>
      <c r="G10" s="76">
        <v>12.5</v>
      </c>
      <c r="H10" s="67">
        <f>+D10</f>
        <v>1.3003</v>
      </c>
      <c r="I10" s="66">
        <f>+F10*G10*H10*3</f>
        <v>48.761250000000004</v>
      </c>
      <c r="J10" s="64">
        <v>1</v>
      </c>
      <c r="K10" s="76">
        <v>12.5</v>
      </c>
      <c r="L10" s="67">
        <f>+D10</f>
        <v>1.3003</v>
      </c>
      <c r="M10" s="66">
        <f>+J10*K10*L10*3</f>
        <v>48.761250000000004</v>
      </c>
      <c r="N10" s="64">
        <v>1</v>
      </c>
      <c r="O10" s="76">
        <v>12.5</v>
      </c>
      <c r="P10" s="67">
        <f>+D10</f>
        <v>1.3003</v>
      </c>
      <c r="Q10" s="66">
        <f>+N10*O10*P10*3</f>
        <v>48.761250000000004</v>
      </c>
      <c r="R10" s="85">
        <f>(+N10+J10+F10+B10)/4</f>
        <v>1</v>
      </c>
      <c r="S10" s="81">
        <f>+Q10+M10+I10+E10</f>
        <v>195.04500000000002</v>
      </c>
      <c r="T10" s="66">
        <f>+S10/$T$7</f>
        <v>54.179166666666667</v>
      </c>
      <c r="U10" s="61">
        <v>7.4999999999999997E-2</v>
      </c>
      <c r="V10" t="s">
        <v>53</v>
      </c>
    </row>
    <row r="11" spans="1:22">
      <c r="A11" s="27" t="s">
        <v>37</v>
      </c>
      <c r="B11" s="100">
        <v>5</v>
      </c>
      <c r="C11" s="99">
        <v>6</v>
      </c>
      <c r="D11" s="67">
        <f>$U$19</f>
        <v>1.2237</v>
      </c>
      <c r="E11" s="77">
        <f>+B11*C11*D11*3</f>
        <v>110.133</v>
      </c>
      <c r="F11" s="75">
        <v>6</v>
      </c>
      <c r="G11" s="76">
        <v>6</v>
      </c>
      <c r="H11" s="67">
        <f>+D11</f>
        <v>1.2237</v>
      </c>
      <c r="I11" s="77">
        <f>+F11*G11*H11*3</f>
        <v>132.15960000000001</v>
      </c>
      <c r="J11" s="75">
        <v>7</v>
      </c>
      <c r="K11" s="76">
        <v>6</v>
      </c>
      <c r="L11" s="67">
        <f>+D11</f>
        <v>1.2237</v>
      </c>
      <c r="M11" s="77">
        <f>+J11*K11*L11*3</f>
        <v>154.18620000000001</v>
      </c>
      <c r="N11" s="75">
        <v>8</v>
      </c>
      <c r="O11" s="76">
        <v>6</v>
      </c>
      <c r="P11" s="67">
        <f>+D11</f>
        <v>1.2237</v>
      </c>
      <c r="Q11" s="77">
        <f>+N11*O11*P11*3</f>
        <v>176.21280000000002</v>
      </c>
      <c r="R11" s="86">
        <f>(+N11+J11+F11+B11)/4</f>
        <v>6.5</v>
      </c>
      <c r="S11" s="78">
        <f>+Q11+M11+I11+E11</f>
        <v>572.69159999999999</v>
      </c>
      <c r="T11" s="77">
        <f>+S11/$T$7</f>
        <v>159.08099999999999</v>
      </c>
      <c r="U11" s="61">
        <v>6.6699999999999995E-2</v>
      </c>
      <c r="V11" t="s">
        <v>58</v>
      </c>
    </row>
    <row r="12" spans="1:22">
      <c r="A12" s="27"/>
      <c r="B12" s="97">
        <f>SUM(B9:B11)</f>
        <v>7</v>
      </c>
      <c r="C12" s="98"/>
      <c r="D12" s="26"/>
      <c r="E12" s="68">
        <f>SUM(E9:E11)</f>
        <v>253.78994999999998</v>
      </c>
      <c r="F12" s="64">
        <f>SUM(F9:F11)</f>
        <v>8</v>
      </c>
      <c r="G12" s="26"/>
      <c r="H12" s="26"/>
      <c r="I12" s="68">
        <f>SUM(I9:I11)</f>
        <v>275.81655000000001</v>
      </c>
      <c r="J12" s="64">
        <f>SUM(J9:J11)</f>
        <v>9</v>
      </c>
      <c r="K12" s="26"/>
      <c r="L12" s="26"/>
      <c r="M12" s="68">
        <f>SUM(M9:M11)</f>
        <v>297.84315000000004</v>
      </c>
      <c r="N12" s="64">
        <f>SUM(N9:N11)</f>
        <v>10</v>
      </c>
      <c r="O12" s="26"/>
      <c r="P12" s="26"/>
      <c r="Q12" s="68">
        <f>SUM(Q9:Q11)</f>
        <v>319.86975000000001</v>
      </c>
      <c r="R12" s="85">
        <f>SUM(R9:R11)</f>
        <v>8.5</v>
      </c>
      <c r="S12" s="81">
        <f>SUM(S9:S11)</f>
        <v>1147.3193999999999</v>
      </c>
      <c r="T12" s="66">
        <f>SUM(T9:T11)</f>
        <v>318.69983333333334</v>
      </c>
      <c r="U12" s="61">
        <v>0.03</v>
      </c>
      <c r="V12" t="s">
        <v>61</v>
      </c>
    </row>
    <row r="13" spans="1:22">
      <c r="A13" s="27"/>
      <c r="B13" s="97"/>
      <c r="C13" s="98"/>
      <c r="D13" s="26"/>
      <c r="E13" s="65"/>
      <c r="F13" s="64"/>
      <c r="G13" s="26"/>
      <c r="H13" s="26"/>
      <c r="I13" s="65"/>
      <c r="J13" s="64"/>
      <c r="K13" s="26"/>
      <c r="L13" s="26"/>
      <c r="M13" s="65"/>
      <c r="N13" s="64"/>
      <c r="O13" s="26"/>
      <c r="P13" s="26"/>
      <c r="Q13" s="65"/>
      <c r="R13" s="85"/>
      <c r="S13" s="26"/>
      <c r="T13" s="65"/>
      <c r="U13" s="95">
        <v>0.08</v>
      </c>
      <c r="V13" t="s">
        <v>76</v>
      </c>
    </row>
    <row r="14" spans="1:22">
      <c r="A14" s="96" t="s">
        <v>38</v>
      </c>
      <c r="B14" s="97"/>
      <c r="C14" s="98"/>
      <c r="D14" s="26"/>
      <c r="E14" s="65"/>
      <c r="F14" s="64"/>
      <c r="G14" s="26"/>
      <c r="H14" s="26"/>
      <c r="I14" s="65"/>
      <c r="J14" s="64"/>
      <c r="K14" s="26"/>
      <c r="L14" s="26"/>
      <c r="M14" s="65"/>
      <c r="N14" s="64"/>
      <c r="O14" s="26"/>
      <c r="P14" s="26"/>
      <c r="Q14" s="65"/>
      <c r="R14" s="85"/>
      <c r="S14" s="26"/>
      <c r="T14" s="65"/>
    </row>
    <row r="15" spans="1:22">
      <c r="A15" s="27" t="s">
        <v>70</v>
      </c>
      <c r="B15" s="97">
        <v>1</v>
      </c>
      <c r="C15" s="99">
        <f>+C10</f>
        <v>12.5</v>
      </c>
      <c r="D15" s="79">
        <f>+U17</f>
        <v>1.3753</v>
      </c>
      <c r="E15" s="66">
        <f>+B15*C15*D15*3</f>
        <v>51.573750000000004</v>
      </c>
      <c r="F15" s="64">
        <v>1</v>
      </c>
      <c r="G15" s="76">
        <f>+G10</f>
        <v>12.5</v>
      </c>
      <c r="H15" s="79">
        <f>+D15</f>
        <v>1.3753</v>
      </c>
      <c r="I15" s="66">
        <f>+F15*G15*H15*3</f>
        <v>51.573750000000004</v>
      </c>
      <c r="J15" s="64">
        <v>1</v>
      </c>
      <c r="K15" s="76">
        <f>+K10</f>
        <v>12.5</v>
      </c>
      <c r="L15" s="79">
        <f>+H15</f>
        <v>1.3753</v>
      </c>
      <c r="M15" s="66">
        <f>+J15*K15*L15*3</f>
        <v>51.573750000000004</v>
      </c>
      <c r="N15" s="64">
        <v>1</v>
      </c>
      <c r="O15" s="76">
        <f>+O10</f>
        <v>12.5</v>
      </c>
      <c r="P15" s="79">
        <f>+D15</f>
        <v>1.3753</v>
      </c>
      <c r="Q15" s="66">
        <f>+N15*O15*P15*3</f>
        <v>51.573750000000004</v>
      </c>
      <c r="R15" s="85">
        <f>(+N15+J15+F15+B15)/4</f>
        <v>1</v>
      </c>
      <c r="S15" s="81">
        <f>+Q15+M15+I15+E15</f>
        <v>206.29500000000002</v>
      </c>
      <c r="T15" s="66">
        <f>+S15/$T$7</f>
        <v>57.304166666666667</v>
      </c>
    </row>
    <row r="16" spans="1:22" ht="13.5" thickBot="1">
      <c r="A16" s="27" t="s">
        <v>40</v>
      </c>
      <c r="B16" s="100">
        <v>1</v>
      </c>
      <c r="C16" s="99">
        <v>9</v>
      </c>
      <c r="D16" s="79">
        <f>+U18</f>
        <v>1.3003</v>
      </c>
      <c r="E16" s="66">
        <f>+B16*C16*D16*3</f>
        <v>35.1081</v>
      </c>
      <c r="F16" s="75">
        <v>2</v>
      </c>
      <c r="G16" s="76">
        <v>9</v>
      </c>
      <c r="H16" s="79">
        <f>+D16</f>
        <v>1.3003</v>
      </c>
      <c r="I16" s="66">
        <f>+F16*G16*H16*3</f>
        <v>70.216200000000001</v>
      </c>
      <c r="J16" s="75">
        <v>3</v>
      </c>
      <c r="K16" s="76">
        <v>9</v>
      </c>
      <c r="L16" s="79">
        <f>+D16</f>
        <v>1.3003</v>
      </c>
      <c r="M16" s="66">
        <f>+J16*K16*L16*3</f>
        <v>105.32429999999999</v>
      </c>
      <c r="N16" s="75">
        <v>4</v>
      </c>
      <c r="O16" s="76">
        <v>9</v>
      </c>
      <c r="P16" s="79">
        <f>+D16</f>
        <v>1.3003</v>
      </c>
      <c r="Q16" s="66">
        <f>+N16*O16*P16*3</f>
        <v>140.4324</v>
      </c>
      <c r="R16" s="86">
        <f>(+N16+J16+F16+B16)/4</f>
        <v>2.5</v>
      </c>
      <c r="S16" s="81">
        <f>+Q16+M16+I16+E16</f>
        <v>351.08099999999996</v>
      </c>
      <c r="T16" s="66">
        <f>+S16/$T$7</f>
        <v>97.52249999999998</v>
      </c>
    </row>
    <row r="17" spans="1:22">
      <c r="A17" s="27"/>
      <c r="B17" s="97">
        <f>SUM(B14:B16)</f>
        <v>2</v>
      </c>
      <c r="C17" s="98"/>
      <c r="D17" s="26"/>
      <c r="E17" s="80">
        <f>SUM(E15:E16)</f>
        <v>86.681849999999997</v>
      </c>
      <c r="F17" s="64">
        <f>SUM(F14:F16)</f>
        <v>3</v>
      </c>
      <c r="G17" s="26"/>
      <c r="H17" s="26"/>
      <c r="I17" s="80">
        <f>SUM(I15:I16)</f>
        <v>121.78995</v>
      </c>
      <c r="J17" s="64">
        <f>SUM(J15:J16)</f>
        <v>4</v>
      </c>
      <c r="K17" s="26"/>
      <c r="L17" s="26"/>
      <c r="M17" s="80">
        <f>SUM(M15:M16)</f>
        <v>156.89805000000001</v>
      </c>
      <c r="N17" s="64">
        <f>SUM(N15:N16)</f>
        <v>5</v>
      </c>
      <c r="O17" s="26"/>
      <c r="P17" s="26"/>
      <c r="Q17" s="80">
        <f>SUM(Q15:Q16)</f>
        <v>192.00614999999999</v>
      </c>
      <c r="R17" s="85">
        <f>SUM(R15:R16)</f>
        <v>3.5</v>
      </c>
      <c r="S17" s="26"/>
      <c r="T17" s="80">
        <f>SUM(T15:T16)</f>
        <v>154.82666666666665</v>
      </c>
      <c r="U17" s="89">
        <f>+U10+U9+U8+U7+U6+U12++U13+1</f>
        <v>1.3753</v>
      </c>
      <c r="V17" s="90" t="s">
        <v>56</v>
      </c>
    </row>
    <row r="18" spans="1:22">
      <c r="A18" s="27"/>
      <c r="B18" s="97"/>
      <c r="C18" s="98"/>
      <c r="D18" s="26"/>
      <c r="E18" s="65"/>
      <c r="F18" s="64"/>
      <c r="G18" s="26"/>
      <c r="H18" s="26"/>
      <c r="I18" s="65"/>
      <c r="J18" s="64"/>
      <c r="K18" s="26"/>
      <c r="L18" s="26"/>
      <c r="M18" s="65"/>
      <c r="N18" s="64"/>
      <c r="O18" s="26"/>
      <c r="P18" s="26"/>
      <c r="Q18" s="65"/>
      <c r="R18" s="85"/>
      <c r="S18" s="26"/>
      <c r="T18" s="65"/>
      <c r="U18" s="91">
        <f>+U9+U8+U7+U6+U12+U13+1</f>
        <v>1.3003</v>
      </c>
      <c r="V18" s="65" t="s">
        <v>57</v>
      </c>
    </row>
    <row r="19" spans="1:22" ht="13.5" thickBot="1">
      <c r="A19" s="27"/>
      <c r="B19" s="97"/>
      <c r="C19" s="98"/>
      <c r="D19" s="26"/>
      <c r="E19" s="65"/>
      <c r="F19" s="64"/>
      <c r="G19" s="26"/>
      <c r="H19" s="26"/>
      <c r="I19" s="65"/>
      <c r="J19" s="64"/>
      <c r="K19" s="26"/>
      <c r="L19" s="26"/>
      <c r="M19" s="65"/>
      <c r="N19" s="64"/>
      <c r="O19" s="26"/>
      <c r="P19" s="26"/>
      <c r="Q19" s="65"/>
      <c r="R19" s="85"/>
      <c r="S19" s="26"/>
      <c r="T19" s="65"/>
      <c r="U19" s="92">
        <f>+U7+U11+U12+U13+1</f>
        <v>1.2237</v>
      </c>
      <c r="V19" s="70" t="s">
        <v>58</v>
      </c>
    </row>
    <row r="20" spans="1:22">
      <c r="A20" s="96" t="s">
        <v>2</v>
      </c>
      <c r="B20" s="97"/>
      <c r="C20" s="98"/>
      <c r="D20" s="26"/>
      <c r="E20" s="65"/>
      <c r="F20" s="64"/>
      <c r="G20" s="26"/>
      <c r="H20" s="26"/>
      <c r="I20" s="65"/>
      <c r="J20" s="64"/>
      <c r="K20" s="26"/>
      <c r="L20" s="26"/>
      <c r="M20" s="65"/>
      <c r="N20" s="64"/>
      <c r="O20" s="26"/>
      <c r="P20" s="26"/>
      <c r="Q20" s="65"/>
      <c r="R20" s="85"/>
      <c r="S20" s="26"/>
      <c r="T20" s="65"/>
    </row>
    <row r="21" spans="1:22">
      <c r="A21" s="27" t="s">
        <v>71</v>
      </c>
      <c r="B21" s="97">
        <v>1</v>
      </c>
      <c r="C21" s="99">
        <v>30</v>
      </c>
      <c r="D21" s="79">
        <f>+$U$17</f>
        <v>1.3753</v>
      </c>
      <c r="E21" s="66">
        <f>+B21*C21*D21*3</f>
        <v>123.777</v>
      </c>
      <c r="F21" s="64">
        <v>1</v>
      </c>
      <c r="G21" s="76">
        <v>30</v>
      </c>
      <c r="H21" s="79">
        <f>+$U$17</f>
        <v>1.3753</v>
      </c>
      <c r="I21" s="66">
        <f>+F21*G21*H21*3</f>
        <v>123.777</v>
      </c>
      <c r="J21" s="64">
        <v>1</v>
      </c>
      <c r="K21" s="76">
        <v>30</v>
      </c>
      <c r="L21" s="79">
        <f>+$U$17</f>
        <v>1.3753</v>
      </c>
      <c r="M21" s="66">
        <f>+J21*K21*L21*3</f>
        <v>123.777</v>
      </c>
      <c r="N21" s="64">
        <v>1</v>
      </c>
      <c r="O21" s="76">
        <v>30</v>
      </c>
      <c r="P21" s="79">
        <f>+$U$17</f>
        <v>1.3753</v>
      </c>
      <c r="Q21" s="66">
        <f>+N21*O21*P21*3</f>
        <v>123.777</v>
      </c>
      <c r="R21" s="85">
        <f>(+N21+J21+F21+B21)/4</f>
        <v>1</v>
      </c>
      <c r="S21" s="81">
        <f>+Q21+M21+I21+E21</f>
        <v>495.108</v>
      </c>
      <c r="T21" s="66">
        <f>+S21/$T$7</f>
        <v>137.53</v>
      </c>
    </row>
    <row r="22" spans="1:22">
      <c r="A22" s="27" t="s">
        <v>73</v>
      </c>
      <c r="B22" s="100">
        <v>1</v>
      </c>
      <c r="C22" s="99">
        <v>8</v>
      </c>
      <c r="D22" s="79">
        <f>+$U$18</f>
        <v>1.3003</v>
      </c>
      <c r="E22" s="66">
        <f>+B22*C22*D22*3</f>
        <v>31.2072</v>
      </c>
      <c r="F22" s="75">
        <v>1</v>
      </c>
      <c r="G22" s="76">
        <v>8</v>
      </c>
      <c r="H22" s="79">
        <f>+$U$18</f>
        <v>1.3003</v>
      </c>
      <c r="I22" s="66">
        <f>+F22*G22*H22*3</f>
        <v>31.2072</v>
      </c>
      <c r="J22" s="75">
        <v>2</v>
      </c>
      <c r="K22" s="76">
        <v>8</v>
      </c>
      <c r="L22" s="79">
        <f>+$U$18</f>
        <v>1.3003</v>
      </c>
      <c r="M22" s="66">
        <f>+J22*K22*L22*3</f>
        <v>62.414400000000001</v>
      </c>
      <c r="N22" s="75">
        <v>3</v>
      </c>
      <c r="O22" s="76">
        <v>8</v>
      </c>
      <c r="P22" s="79">
        <f>+$U$18</f>
        <v>1.3003</v>
      </c>
      <c r="Q22" s="66">
        <f>+N22*O22*P22*3</f>
        <v>93.621600000000001</v>
      </c>
      <c r="R22" s="86">
        <f>(+N22+J22+F22+B22)/4</f>
        <v>1.75</v>
      </c>
      <c r="S22" s="81">
        <f>+Q22+M22+I22+E22</f>
        <v>218.4504</v>
      </c>
      <c r="T22" s="66">
        <f>+S22/$T$7</f>
        <v>60.680666666666667</v>
      </c>
    </row>
    <row r="23" spans="1:22">
      <c r="A23" s="27"/>
      <c r="B23" s="97">
        <f>SUM(B20:B22)</f>
        <v>2</v>
      </c>
      <c r="C23" s="98"/>
      <c r="D23" s="26"/>
      <c r="E23" s="80">
        <f>SUM(E21:E22)</f>
        <v>154.98419999999999</v>
      </c>
      <c r="F23" s="64">
        <f>SUM(F20:F22)</f>
        <v>2</v>
      </c>
      <c r="G23" s="26"/>
      <c r="H23" s="26"/>
      <c r="I23" s="80">
        <f>SUM(I21:I22)</f>
        <v>154.98419999999999</v>
      </c>
      <c r="J23" s="64">
        <f>SUM(J20:J22)</f>
        <v>3</v>
      </c>
      <c r="K23" s="26"/>
      <c r="L23" s="26"/>
      <c r="M23" s="80">
        <f>SUM(M21:M22)</f>
        <v>186.19139999999999</v>
      </c>
      <c r="N23" s="64">
        <f>SUM(N20:N22)</f>
        <v>4</v>
      </c>
      <c r="O23" s="26"/>
      <c r="P23" s="26"/>
      <c r="Q23" s="80">
        <f>SUM(Q21:Q22)</f>
        <v>217.39859999999999</v>
      </c>
      <c r="R23" s="85">
        <f>SUM(R21:R22)</f>
        <v>2.75</v>
      </c>
      <c r="S23" s="26"/>
      <c r="T23" s="80">
        <f>SUM(T21:T22)</f>
        <v>198.21066666666667</v>
      </c>
    </row>
    <row r="24" spans="1:22">
      <c r="A24" s="27"/>
      <c r="B24" s="97"/>
      <c r="C24" s="98"/>
      <c r="D24" s="26"/>
      <c r="E24" s="68"/>
      <c r="F24" s="64"/>
      <c r="G24" s="26"/>
      <c r="H24" s="26"/>
      <c r="I24" s="68"/>
      <c r="J24" s="64"/>
      <c r="K24" s="26"/>
      <c r="L24" s="26"/>
      <c r="M24" s="68"/>
      <c r="N24" s="64"/>
      <c r="O24" s="26"/>
      <c r="P24" s="26"/>
      <c r="Q24" s="68"/>
      <c r="R24" s="85"/>
      <c r="S24" s="26"/>
      <c r="T24" s="68"/>
    </row>
    <row r="25" spans="1:22">
      <c r="A25" s="96" t="s">
        <v>59</v>
      </c>
      <c r="B25" s="97"/>
      <c r="C25" s="98"/>
      <c r="D25" s="26"/>
      <c r="E25" s="65"/>
      <c r="F25" s="64"/>
      <c r="G25" s="26"/>
      <c r="H25" s="26"/>
      <c r="I25" s="65"/>
      <c r="J25" s="64"/>
      <c r="K25" s="26"/>
      <c r="L25" s="26"/>
      <c r="M25" s="65"/>
      <c r="N25" s="64"/>
      <c r="O25" s="26"/>
      <c r="P25" s="26"/>
      <c r="Q25" s="65"/>
      <c r="R25" s="85"/>
      <c r="S25" s="26"/>
      <c r="T25" s="65"/>
    </row>
    <row r="26" spans="1:22">
      <c r="A26" s="27" t="s">
        <v>72</v>
      </c>
      <c r="B26" s="97">
        <v>1</v>
      </c>
      <c r="C26" s="99">
        <v>30</v>
      </c>
      <c r="D26" s="79">
        <f>+$U$17</f>
        <v>1.3753</v>
      </c>
      <c r="E26" s="66">
        <f>+B26*C26*D26*3</f>
        <v>123.777</v>
      </c>
      <c r="F26" s="64">
        <v>1</v>
      </c>
      <c r="G26" s="76">
        <v>30</v>
      </c>
      <c r="H26" s="79">
        <f>+$U$17</f>
        <v>1.3753</v>
      </c>
      <c r="I26" s="66">
        <f>+F26*G26*H26*3</f>
        <v>123.777</v>
      </c>
      <c r="J26" s="64">
        <v>1</v>
      </c>
      <c r="K26" s="76">
        <v>30</v>
      </c>
      <c r="L26" s="79">
        <f>+$U$17</f>
        <v>1.3753</v>
      </c>
      <c r="M26" s="66">
        <f>+J26*K26*L26*3</f>
        <v>123.777</v>
      </c>
      <c r="N26" s="64">
        <v>1</v>
      </c>
      <c r="O26" s="76">
        <v>30</v>
      </c>
      <c r="P26" s="79">
        <f>+$U$17</f>
        <v>1.3753</v>
      </c>
      <c r="Q26" s="66">
        <f>+N26*O26*P26*3</f>
        <v>123.777</v>
      </c>
      <c r="R26" s="85">
        <f>(+N26+J26+F26+B26)/4</f>
        <v>1</v>
      </c>
      <c r="S26" s="81">
        <f>+Q26+M26+I26+E26</f>
        <v>495.108</v>
      </c>
      <c r="T26" s="66">
        <f>+S26/$T$7</f>
        <v>137.53</v>
      </c>
    </row>
    <row r="27" spans="1:22">
      <c r="A27" s="27" t="s">
        <v>74</v>
      </c>
      <c r="B27" s="100">
        <v>1</v>
      </c>
      <c r="C27" s="99">
        <v>8</v>
      </c>
      <c r="D27" s="79">
        <f>+$U$18</f>
        <v>1.3003</v>
      </c>
      <c r="E27" s="66">
        <f>+B27*C27*D27*3</f>
        <v>31.2072</v>
      </c>
      <c r="F27" s="75">
        <v>2</v>
      </c>
      <c r="G27" s="76">
        <v>8</v>
      </c>
      <c r="H27" s="79">
        <f>+$U$18</f>
        <v>1.3003</v>
      </c>
      <c r="I27" s="66">
        <f>+F27*G27*H27*3</f>
        <v>62.414400000000001</v>
      </c>
      <c r="J27" s="75">
        <v>4</v>
      </c>
      <c r="K27" s="76">
        <v>8</v>
      </c>
      <c r="L27" s="79">
        <f>+$U$18</f>
        <v>1.3003</v>
      </c>
      <c r="M27" s="66">
        <f>+J27*K27*L27*3</f>
        <v>124.8288</v>
      </c>
      <c r="N27" s="75">
        <v>5</v>
      </c>
      <c r="O27" s="76">
        <v>8</v>
      </c>
      <c r="P27" s="79">
        <f>+$U$18</f>
        <v>1.3003</v>
      </c>
      <c r="Q27" s="66">
        <f>+N27*O27*P27*3</f>
        <v>156.036</v>
      </c>
      <c r="R27" s="86">
        <f>(+N27+J27+F27+B27)/4</f>
        <v>3</v>
      </c>
      <c r="S27" s="81">
        <f>+Q27+M27+I27+E27</f>
        <v>374.4864</v>
      </c>
      <c r="T27" s="66">
        <f>+S27/$T$7</f>
        <v>104.024</v>
      </c>
    </row>
    <row r="28" spans="1:22">
      <c r="A28" s="27"/>
      <c r="B28" s="97">
        <f>SUM(B25:B27)</f>
        <v>2</v>
      </c>
      <c r="C28" s="98"/>
      <c r="D28" s="26"/>
      <c r="E28" s="80">
        <f>SUM(E26:E27)</f>
        <v>154.98419999999999</v>
      </c>
      <c r="F28" s="64">
        <f>SUM(F25:F27)</f>
        <v>3</v>
      </c>
      <c r="G28" s="26"/>
      <c r="H28" s="26"/>
      <c r="I28" s="80">
        <f>SUM(I26:I27)</f>
        <v>186.19139999999999</v>
      </c>
      <c r="J28" s="64">
        <f>SUM(J25:J27)</f>
        <v>5</v>
      </c>
      <c r="K28" s="26"/>
      <c r="L28" s="26"/>
      <c r="M28" s="80">
        <f>SUM(M26:M27)</f>
        <v>248.60579999999999</v>
      </c>
      <c r="N28" s="64">
        <f>SUM(N25:N27)</f>
        <v>6</v>
      </c>
      <c r="O28" s="26"/>
      <c r="P28" s="26"/>
      <c r="Q28" s="80">
        <f>SUM(Q26:Q27)</f>
        <v>279.81299999999999</v>
      </c>
      <c r="R28" s="85">
        <f>SUM(R26:R27)</f>
        <v>4</v>
      </c>
      <c r="S28" s="26"/>
      <c r="T28" s="80">
        <f>SUM(T26:T27)</f>
        <v>241.554</v>
      </c>
    </row>
    <row r="29" spans="1:22">
      <c r="A29" s="27"/>
      <c r="B29" s="97"/>
      <c r="C29" s="98"/>
      <c r="D29" s="26"/>
      <c r="E29" s="65"/>
      <c r="F29" s="64"/>
      <c r="G29" s="26"/>
      <c r="H29" s="26"/>
      <c r="I29" s="65"/>
      <c r="J29" s="64"/>
      <c r="K29" s="26"/>
      <c r="L29" s="26"/>
      <c r="M29" s="65"/>
      <c r="N29" s="64"/>
      <c r="O29" s="26"/>
      <c r="P29" s="26"/>
      <c r="Q29" s="65"/>
      <c r="R29" s="85"/>
      <c r="S29" s="26"/>
      <c r="T29" s="65"/>
    </row>
    <row r="30" spans="1:22">
      <c r="A30" s="96" t="s">
        <v>32</v>
      </c>
      <c r="B30" s="97"/>
      <c r="C30" s="98"/>
      <c r="D30" s="26"/>
      <c r="E30" s="65"/>
      <c r="F30" s="64"/>
      <c r="G30" s="26"/>
      <c r="H30" s="26"/>
      <c r="I30" s="65"/>
      <c r="J30" s="64"/>
      <c r="K30" s="26"/>
      <c r="L30" s="26"/>
      <c r="M30" s="65"/>
      <c r="N30" s="64"/>
      <c r="O30" s="26"/>
      <c r="P30" s="26"/>
      <c r="Q30" s="65"/>
      <c r="R30" s="64"/>
      <c r="S30" s="26"/>
      <c r="T30" s="65"/>
    </row>
    <row r="31" spans="1:22">
      <c r="A31" s="27" t="s">
        <v>75</v>
      </c>
      <c r="B31" s="97">
        <v>1</v>
      </c>
      <c r="C31" s="99">
        <v>20</v>
      </c>
      <c r="D31" s="67">
        <f>+U17</f>
        <v>1.3753</v>
      </c>
      <c r="E31" s="66">
        <f>+B31*C31*D31*3</f>
        <v>82.518000000000001</v>
      </c>
      <c r="F31" s="64">
        <v>1</v>
      </c>
      <c r="G31" s="76">
        <f t="shared" ref="G31:H33" si="0">+C31</f>
        <v>20</v>
      </c>
      <c r="H31" s="67">
        <f t="shared" si="0"/>
        <v>1.3753</v>
      </c>
      <c r="I31" s="66">
        <f>+F31*G31*H31*3</f>
        <v>82.518000000000001</v>
      </c>
      <c r="J31" s="64">
        <v>1</v>
      </c>
      <c r="K31" s="76">
        <v>50</v>
      </c>
      <c r="L31" s="67">
        <f>+D31</f>
        <v>1.3753</v>
      </c>
      <c r="M31" s="66">
        <f>+J31*K31*L31*3</f>
        <v>206.29500000000002</v>
      </c>
      <c r="N31" s="64">
        <v>1</v>
      </c>
      <c r="O31" s="76">
        <f>+K31</f>
        <v>50</v>
      </c>
      <c r="P31" s="67">
        <f>+D31</f>
        <v>1.3753</v>
      </c>
      <c r="Q31" s="66">
        <f>+N31*O31*P31*3</f>
        <v>206.29500000000002</v>
      </c>
      <c r="R31" s="85">
        <f>(+N31+J31+F31+B31)/4</f>
        <v>1</v>
      </c>
      <c r="S31" s="81">
        <f>+Q31+M31+I31+E31</f>
        <v>577.62600000000009</v>
      </c>
      <c r="T31" s="66">
        <f>+S31/$T$7</f>
        <v>160.45166666666668</v>
      </c>
    </row>
    <row r="32" spans="1:22">
      <c r="A32" s="27" t="s">
        <v>78</v>
      </c>
      <c r="B32" s="97">
        <v>2</v>
      </c>
      <c r="C32" s="99">
        <v>23</v>
      </c>
      <c r="D32" s="67">
        <f>+$U$17</f>
        <v>1.3753</v>
      </c>
      <c r="E32" s="66">
        <f>+B32*C32*D32*3</f>
        <v>189.79139999999998</v>
      </c>
      <c r="F32" s="64">
        <v>2</v>
      </c>
      <c r="G32" s="76">
        <f t="shared" si="0"/>
        <v>23</v>
      </c>
      <c r="H32" s="67">
        <f t="shared" si="0"/>
        <v>1.3753</v>
      </c>
      <c r="I32" s="66">
        <f>+F32*G32*H32*3</f>
        <v>189.79139999999998</v>
      </c>
      <c r="J32" s="64">
        <v>2</v>
      </c>
      <c r="K32" s="76">
        <v>50</v>
      </c>
      <c r="L32" s="67">
        <f>+D32</f>
        <v>1.3753</v>
      </c>
      <c r="M32" s="66">
        <f>+J32*K32*L32*3</f>
        <v>412.59000000000003</v>
      </c>
      <c r="N32" s="64">
        <v>2</v>
      </c>
      <c r="O32" s="76">
        <f>+K32</f>
        <v>50</v>
      </c>
      <c r="P32" s="67">
        <f>+D32</f>
        <v>1.3753</v>
      </c>
      <c r="Q32" s="66">
        <f>+N32*O32*P32*3</f>
        <v>412.59000000000003</v>
      </c>
      <c r="R32" s="85">
        <f>(+N32+J32+F32+B32)/4</f>
        <v>2</v>
      </c>
      <c r="S32" s="81">
        <f>+Q32+M32+I32+E32</f>
        <v>1204.7628</v>
      </c>
      <c r="T32" s="66">
        <f>+S32/$T$7</f>
        <v>334.65633333333329</v>
      </c>
    </row>
    <row r="33" spans="1:20">
      <c r="A33" s="27" t="s">
        <v>69</v>
      </c>
      <c r="B33" s="97">
        <v>0</v>
      </c>
      <c r="C33" s="99">
        <v>23</v>
      </c>
      <c r="D33" s="67">
        <f>+$U$17</f>
        <v>1.3753</v>
      </c>
      <c r="E33" s="66">
        <f>+B33*C33*D33*3</f>
        <v>0</v>
      </c>
      <c r="F33" s="64">
        <v>1</v>
      </c>
      <c r="G33" s="76">
        <f t="shared" si="0"/>
        <v>23</v>
      </c>
      <c r="H33" s="67">
        <f t="shared" si="0"/>
        <v>1.3753</v>
      </c>
      <c r="I33" s="66">
        <f>+F33*G33*H33*3</f>
        <v>94.895699999999991</v>
      </c>
      <c r="J33" s="64">
        <v>3</v>
      </c>
      <c r="K33" s="76">
        <f>+G33</f>
        <v>23</v>
      </c>
      <c r="L33" s="67">
        <f>+D33</f>
        <v>1.3753</v>
      </c>
      <c r="M33" s="66">
        <f>+J33*K33*L33*3</f>
        <v>284.68709999999999</v>
      </c>
      <c r="N33" s="64">
        <v>4</v>
      </c>
      <c r="O33" s="76">
        <f>+K33</f>
        <v>23</v>
      </c>
      <c r="P33" s="67">
        <f>+D33</f>
        <v>1.3753</v>
      </c>
      <c r="Q33" s="66">
        <f>+N33*O33*P33*3</f>
        <v>379.58279999999996</v>
      </c>
      <c r="R33" s="85">
        <f>(+N33+J33+F33+B33)/4</f>
        <v>2</v>
      </c>
      <c r="S33" s="81">
        <f>+Q33+M33+I33+E33</f>
        <v>759.16560000000004</v>
      </c>
      <c r="T33" s="66">
        <f>+S33/$T$7</f>
        <v>210.87933333333334</v>
      </c>
    </row>
    <row r="34" spans="1:20">
      <c r="A34" s="27" t="s">
        <v>68</v>
      </c>
      <c r="B34" s="100">
        <v>5</v>
      </c>
      <c r="C34" s="99">
        <v>22</v>
      </c>
      <c r="D34" s="67">
        <f>+U18</f>
        <v>1.3003</v>
      </c>
      <c r="E34" s="77">
        <f>+B34*C34*D34*3</f>
        <v>429.09900000000005</v>
      </c>
      <c r="F34" s="75">
        <v>7</v>
      </c>
      <c r="G34" s="76">
        <v>22</v>
      </c>
      <c r="H34" s="67">
        <f>+D34</f>
        <v>1.3003</v>
      </c>
      <c r="I34" s="77">
        <f>+F34*G34*H34*3</f>
        <v>600.73859999999991</v>
      </c>
      <c r="J34" s="75">
        <v>8</v>
      </c>
      <c r="K34" s="76">
        <v>22</v>
      </c>
      <c r="L34" s="67">
        <f>+D34</f>
        <v>1.3003</v>
      </c>
      <c r="M34" s="77">
        <f>+J34*K34*L34*3</f>
        <v>686.55840000000001</v>
      </c>
      <c r="N34" s="75">
        <v>11</v>
      </c>
      <c r="O34" s="76">
        <v>22</v>
      </c>
      <c r="P34" s="67">
        <f>+D34</f>
        <v>1.3003</v>
      </c>
      <c r="Q34" s="77">
        <f>+N34*O34*P34*3</f>
        <v>944.01779999999997</v>
      </c>
      <c r="R34" s="86">
        <f>(+N34+J34+F34+B34)/4</f>
        <v>7.75</v>
      </c>
      <c r="S34" s="78">
        <f>+Q34+M34+I34+E34</f>
        <v>2660.4138000000003</v>
      </c>
      <c r="T34" s="77">
        <f>+S34/$T$7</f>
        <v>739.00383333333343</v>
      </c>
    </row>
    <row r="35" spans="1:20">
      <c r="A35" s="27"/>
      <c r="B35" s="97">
        <f>SUM(B31:B34)</f>
        <v>8</v>
      </c>
      <c r="C35" s="98"/>
      <c r="D35" s="26"/>
      <c r="E35" s="68">
        <f>SUM(E31:E34)</f>
        <v>701.40840000000003</v>
      </c>
      <c r="F35" s="64">
        <f>SUM(F31:F34)</f>
        <v>11</v>
      </c>
      <c r="G35" s="26"/>
      <c r="H35" s="26"/>
      <c r="I35" s="68">
        <f>SUM(I31:I34)</f>
        <v>967.94369999999981</v>
      </c>
      <c r="J35" s="64">
        <f>SUM(J31:J34)</f>
        <v>14</v>
      </c>
      <c r="K35" s="26"/>
      <c r="L35" s="26"/>
      <c r="M35" s="68">
        <f>SUM(M31:M34)</f>
        <v>1590.1305</v>
      </c>
      <c r="N35" s="64">
        <f>SUM(N31:N34)</f>
        <v>18</v>
      </c>
      <c r="O35" s="26"/>
      <c r="P35" s="26"/>
      <c r="Q35" s="68">
        <f>SUM(Q31:Q34)</f>
        <v>1942.4856</v>
      </c>
      <c r="R35" s="85">
        <f>SUM(R31:R34)</f>
        <v>12.75</v>
      </c>
      <c r="S35" s="81">
        <f>SUM(S31:S34)</f>
        <v>5201.9682000000003</v>
      </c>
      <c r="T35" s="66">
        <f>SUM(T31:T34)</f>
        <v>1444.9911666666667</v>
      </c>
    </row>
    <row r="36" spans="1:20">
      <c r="A36" s="96" t="s">
        <v>33</v>
      </c>
      <c r="B36" s="97"/>
      <c r="C36" s="98"/>
      <c r="D36" s="26"/>
      <c r="E36" s="65"/>
      <c r="F36" s="64"/>
      <c r="G36" s="26"/>
      <c r="H36" s="26"/>
      <c r="I36" s="65"/>
      <c r="J36" s="64"/>
      <c r="K36" s="26"/>
      <c r="L36" s="26"/>
      <c r="M36" s="65"/>
      <c r="N36" s="64"/>
      <c r="O36" s="26"/>
      <c r="P36" s="26"/>
      <c r="Q36" s="65"/>
      <c r="R36" s="85"/>
      <c r="S36" s="26"/>
      <c r="T36" s="65"/>
    </row>
    <row r="37" spans="1:20">
      <c r="A37" s="27" t="s">
        <v>60</v>
      </c>
      <c r="B37" s="97">
        <v>1</v>
      </c>
      <c r="C37" s="99">
        <v>30</v>
      </c>
      <c r="D37" s="79">
        <f>+$U$17</f>
        <v>1.3753</v>
      </c>
      <c r="E37" s="66">
        <f>+B37*C37*D37*3</f>
        <v>123.777</v>
      </c>
      <c r="F37" s="64">
        <v>1</v>
      </c>
      <c r="G37" s="76">
        <v>30</v>
      </c>
      <c r="H37" s="79">
        <f>+$U$17</f>
        <v>1.3753</v>
      </c>
      <c r="I37" s="66">
        <f>+F37*G37*H37*3</f>
        <v>123.777</v>
      </c>
      <c r="J37" s="64">
        <v>1</v>
      </c>
      <c r="K37" s="76">
        <v>30</v>
      </c>
      <c r="L37" s="79">
        <f>+$U$17</f>
        <v>1.3753</v>
      </c>
      <c r="M37" s="66">
        <f>+J37*K37*L37*3</f>
        <v>123.777</v>
      </c>
      <c r="N37" s="64">
        <v>1</v>
      </c>
      <c r="O37" s="76">
        <v>30</v>
      </c>
      <c r="P37" s="79">
        <f>+$U$17</f>
        <v>1.3753</v>
      </c>
      <c r="Q37" s="66">
        <f>+N37*O37*P37*3</f>
        <v>123.777</v>
      </c>
      <c r="R37" s="85">
        <f>(+N37+J37+F37+B37)/4</f>
        <v>1</v>
      </c>
      <c r="S37" s="81">
        <f>+Q37+M37+I37+E37</f>
        <v>495.108</v>
      </c>
      <c r="T37" s="66">
        <f>+S37/$T$7</f>
        <v>137.53</v>
      </c>
    </row>
    <row r="38" spans="1:20">
      <c r="A38" s="27" t="s">
        <v>33</v>
      </c>
      <c r="B38" s="100">
        <v>1</v>
      </c>
      <c r="C38" s="99">
        <v>8</v>
      </c>
      <c r="D38" s="79">
        <f>+$U$18</f>
        <v>1.3003</v>
      </c>
      <c r="E38" s="66">
        <f>+B38*C38*D38*3</f>
        <v>31.2072</v>
      </c>
      <c r="F38" s="75">
        <v>3</v>
      </c>
      <c r="G38" s="76">
        <v>8</v>
      </c>
      <c r="H38" s="79">
        <f>+$U$18</f>
        <v>1.3003</v>
      </c>
      <c r="I38" s="66">
        <f>+F38*G38*H38*3</f>
        <v>93.621600000000001</v>
      </c>
      <c r="J38" s="75">
        <v>5</v>
      </c>
      <c r="K38" s="76">
        <v>8</v>
      </c>
      <c r="L38" s="79">
        <f>+$U$18</f>
        <v>1.3003</v>
      </c>
      <c r="M38" s="66">
        <f>+J38*K38*L38*3</f>
        <v>156.036</v>
      </c>
      <c r="N38" s="75">
        <v>6</v>
      </c>
      <c r="O38" s="76">
        <v>8</v>
      </c>
      <c r="P38" s="79">
        <f>+$U$18</f>
        <v>1.3003</v>
      </c>
      <c r="Q38" s="66">
        <f>+N38*O38*P38*3</f>
        <v>187.2432</v>
      </c>
      <c r="R38" s="86">
        <f>(+N38+J38+F38+B38)/4</f>
        <v>3.75</v>
      </c>
      <c r="S38" s="81">
        <f>+Q38+M38+I38+E38</f>
        <v>468.108</v>
      </c>
      <c r="T38" s="66">
        <f>+S38/$T$7</f>
        <v>130.03</v>
      </c>
    </row>
    <row r="39" spans="1:20">
      <c r="A39" s="27"/>
      <c r="B39" s="97">
        <f>SUM(B36:B38)</f>
        <v>2</v>
      </c>
      <c r="C39" s="98"/>
      <c r="D39" s="26"/>
      <c r="E39" s="80">
        <f>SUM(E37:E38)</f>
        <v>154.98419999999999</v>
      </c>
      <c r="F39" s="64">
        <f>SUM(F36:F38)</f>
        <v>4</v>
      </c>
      <c r="G39" s="26"/>
      <c r="H39" s="26"/>
      <c r="I39" s="80">
        <f>SUM(I37:I38)</f>
        <v>217.39859999999999</v>
      </c>
      <c r="J39" s="64">
        <f>SUM(J36:J38)</f>
        <v>6</v>
      </c>
      <c r="K39" s="26"/>
      <c r="L39" s="26"/>
      <c r="M39" s="80">
        <f>SUM(M37:M38)</f>
        <v>279.81299999999999</v>
      </c>
      <c r="N39" s="64">
        <f>SUM(N36:N38)</f>
        <v>7</v>
      </c>
      <c r="O39" s="26"/>
      <c r="P39" s="26"/>
      <c r="Q39" s="80">
        <f>SUM(Q37:Q38)</f>
        <v>311.02019999999999</v>
      </c>
      <c r="R39" s="85">
        <f>SUM(R37:R38)</f>
        <v>4.75</v>
      </c>
      <c r="S39" s="26"/>
      <c r="T39" s="80">
        <f>SUM(T37:T38)</f>
        <v>267.56</v>
      </c>
    </row>
    <row r="40" spans="1:20">
      <c r="A40" s="27"/>
      <c r="B40" s="97"/>
      <c r="C40" s="98"/>
      <c r="D40" s="26"/>
      <c r="E40" s="65"/>
      <c r="F40" s="64"/>
      <c r="G40" s="26"/>
      <c r="H40" s="26"/>
      <c r="I40" s="65"/>
      <c r="J40" s="64"/>
      <c r="K40" s="26"/>
      <c r="L40" s="26"/>
      <c r="M40" s="65"/>
      <c r="N40" s="64"/>
      <c r="O40" s="26"/>
      <c r="P40" s="26"/>
      <c r="Q40" s="65"/>
      <c r="R40" s="64"/>
      <c r="S40" s="26"/>
      <c r="T40" s="65"/>
    </row>
    <row r="41" spans="1:20">
      <c r="A41" s="31" t="s">
        <v>67</v>
      </c>
      <c r="B41" s="64"/>
      <c r="C41" s="26"/>
      <c r="D41" s="26"/>
      <c r="E41" s="65"/>
      <c r="F41" s="64"/>
      <c r="G41" s="26"/>
      <c r="H41" s="26"/>
      <c r="I41" s="65"/>
      <c r="J41" s="64"/>
      <c r="K41" s="26"/>
      <c r="L41" s="26"/>
      <c r="M41" s="65"/>
      <c r="N41" s="64"/>
      <c r="O41" s="26"/>
      <c r="P41" s="26"/>
      <c r="Q41" s="65"/>
      <c r="R41" s="64"/>
      <c r="S41" s="26"/>
      <c r="T41" s="65"/>
    </row>
    <row r="42" spans="1:20">
      <c r="A42" t="s">
        <v>41</v>
      </c>
      <c r="B42" s="64">
        <v>2</v>
      </c>
      <c r="C42" s="76">
        <v>20</v>
      </c>
      <c r="D42" s="67">
        <f>+U17</f>
        <v>1.3753</v>
      </c>
      <c r="E42" s="66">
        <f t="shared" ref="E42:E47" si="1">+B42*C42*D42*3</f>
        <v>165.036</v>
      </c>
      <c r="F42" s="64">
        <v>2</v>
      </c>
      <c r="G42" s="76">
        <f t="shared" ref="G42:G47" si="2">+C42</f>
        <v>20</v>
      </c>
      <c r="H42" s="67">
        <f t="shared" ref="H42:H47" si="3">+D42</f>
        <v>1.3753</v>
      </c>
      <c r="I42" s="66">
        <f t="shared" ref="I42:I47" si="4">+F42*G42*H42*3</f>
        <v>165.036</v>
      </c>
      <c r="J42" s="64">
        <v>2</v>
      </c>
      <c r="K42" s="76">
        <v>50</v>
      </c>
      <c r="L42" s="67">
        <f t="shared" ref="L42:L47" si="5">+D42</f>
        <v>1.3753</v>
      </c>
      <c r="M42" s="66">
        <f t="shared" ref="M42:M47" si="6">+J42*K42*L42*3</f>
        <v>412.59000000000003</v>
      </c>
      <c r="N42" s="64">
        <v>2</v>
      </c>
      <c r="O42" s="76">
        <f t="shared" ref="O42:O47" si="7">+K42</f>
        <v>50</v>
      </c>
      <c r="P42" s="67">
        <f t="shared" ref="P42:P47" si="8">+D42</f>
        <v>1.3753</v>
      </c>
      <c r="Q42" s="66">
        <f t="shared" ref="Q42:Q47" si="9">+N42*O42*P42*3</f>
        <v>412.59000000000003</v>
      </c>
      <c r="R42" s="85">
        <f t="shared" ref="R42:R47" si="10">(+N42+J42+F42+B42)/4</f>
        <v>2</v>
      </c>
      <c r="S42" s="81">
        <f t="shared" ref="S42:S47" si="11">+Q42+M42+I42+E42</f>
        <v>1155.2520000000002</v>
      </c>
      <c r="T42" s="66">
        <f t="shared" ref="T42:T47" si="12">+S42/$T$7</f>
        <v>320.90333333333336</v>
      </c>
    </row>
    <row r="43" spans="1:20">
      <c r="A43" t="s">
        <v>42</v>
      </c>
      <c r="B43" s="64">
        <v>1</v>
      </c>
      <c r="C43" s="76">
        <v>27</v>
      </c>
      <c r="D43" s="67">
        <f>+U17</f>
        <v>1.3753</v>
      </c>
      <c r="E43" s="66">
        <f t="shared" si="1"/>
        <v>111.3993</v>
      </c>
      <c r="F43" s="64">
        <v>1</v>
      </c>
      <c r="G43" s="76">
        <f t="shared" si="2"/>
        <v>27</v>
      </c>
      <c r="H43" s="67">
        <f t="shared" si="3"/>
        <v>1.3753</v>
      </c>
      <c r="I43" s="66">
        <f t="shared" si="4"/>
        <v>111.3993</v>
      </c>
      <c r="J43" s="64">
        <v>1</v>
      </c>
      <c r="K43" s="76">
        <f>+G43</f>
        <v>27</v>
      </c>
      <c r="L43" s="67">
        <f t="shared" si="5"/>
        <v>1.3753</v>
      </c>
      <c r="M43" s="66">
        <f t="shared" si="6"/>
        <v>111.3993</v>
      </c>
      <c r="N43" s="64">
        <v>1</v>
      </c>
      <c r="O43" s="76">
        <f t="shared" si="7"/>
        <v>27</v>
      </c>
      <c r="P43" s="67">
        <f t="shared" si="8"/>
        <v>1.3753</v>
      </c>
      <c r="Q43" s="66">
        <f t="shared" si="9"/>
        <v>111.3993</v>
      </c>
      <c r="R43" s="85">
        <f t="shared" si="10"/>
        <v>1</v>
      </c>
      <c r="S43" s="81">
        <f t="shared" si="11"/>
        <v>445.59719999999999</v>
      </c>
      <c r="T43" s="66">
        <f t="shared" si="12"/>
        <v>123.77699999999999</v>
      </c>
    </row>
    <row r="44" spans="1:20">
      <c r="A44" t="s">
        <v>43</v>
      </c>
      <c r="B44" s="64">
        <v>1</v>
      </c>
      <c r="C44" s="76">
        <v>10</v>
      </c>
      <c r="D44" s="67">
        <f>+U18</f>
        <v>1.3003</v>
      </c>
      <c r="E44" s="66">
        <f t="shared" si="1"/>
        <v>39.009</v>
      </c>
      <c r="F44" s="64">
        <v>2</v>
      </c>
      <c r="G44" s="76">
        <f t="shared" si="2"/>
        <v>10</v>
      </c>
      <c r="H44" s="67">
        <f t="shared" si="3"/>
        <v>1.3003</v>
      </c>
      <c r="I44" s="66">
        <f t="shared" si="4"/>
        <v>78.018000000000001</v>
      </c>
      <c r="J44" s="64">
        <v>2</v>
      </c>
      <c r="K44" s="76">
        <f>+G44</f>
        <v>10</v>
      </c>
      <c r="L44" s="67">
        <f t="shared" si="5"/>
        <v>1.3003</v>
      </c>
      <c r="M44" s="66">
        <f t="shared" si="6"/>
        <v>78.018000000000001</v>
      </c>
      <c r="N44" s="64">
        <v>3</v>
      </c>
      <c r="O44" s="76">
        <f t="shared" si="7"/>
        <v>10</v>
      </c>
      <c r="P44" s="67">
        <f t="shared" si="8"/>
        <v>1.3003</v>
      </c>
      <c r="Q44" s="66">
        <f t="shared" si="9"/>
        <v>117.027</v>
      </c>
      <c r="R44" s="85">
        <f t="shared" si="10"/>
        <v>2</v>
      </c>
      <c r="S44" s="81">
        <f t="shared" si="11"/>
        <v>312.072</v>
      </c>
      <c r="T44" s="66">
        <f t="shared" si="12"/>
        <v>86.686666666666667</v>
      </c>
    </row>
    <row r="45" spans="1:20">
      <c r="A45" t="s">
        <v>62</v>
      </c>
      <c r="B45" s="64">
        <v>1</v>
      </c>
      <c r="C45" s="76">
        <v>18</v>
      </c>
      <c r="D45" s="67">
        <f>+U17</f>
        <v>1.3753</v>
      </c>
      <c r="E45" s="66">
        <f>+B45*C45*D45*3</f>
        <v>74.266199999999998</v>
      </c>
      <c r="F45" s="64">
        <v>1</v>
      </c>
      <c r="G45" s="76">
        <f>+C45</f>
        <v>18</v>
      </c>
      <c r="H45" s="67">
        <f>+D45</f>
        <v>1.3753</v>
      </c>
      <c r="I45" s="66">
        <f>+F45*G45*H45*3</f>
        <v>74.266199999999998</v>
      </c>
      <c r="J45" s="64">
        <v>1</v>
      </c>
      <c r="K45" s="76">
        <f>+G45</f>
        <v>18</v>
      </c>
      <c r="L45" s="67">
        <f>+D45</f>
        <v>1.3753</v>
      </c>
      <c r="M45" s="66">
        <f>+J45*K45*L45*3</f>
        <v>74.266199999999998</v>
      </c>
      <c r="N45" s="64">
        <v>1</v>
      </c>
      <c r="O45" s="76">
        <f>+K45</f>
        <v>18</v>
      </c>
      <c r="P45" s="67">
        <f>+D45</f>
        <v>1.3753</v>
      </c>
      <c r="Q45" s="66">
        <f>+N45*O45*P45*3</f>
        <v>74.266199999999998</v>
      </c>
      <c r="R45" s="85">
        <f>(+N45+J45+F45+B45)/4</f>
        <v>1</v>
      </c>
      <c r="S45" s="81">
        <f>+Q45+M45+I45+E45</f>
        <v>297.06479999999999</v>
      </c>
      <c r="T45" s="66">
        <f t="shared" si="12"/>
        <v>82.518000000000001</v>
      </c>
    </row>
    <row r="46" spans="1:20">
      <c r="A46" t="s">
        <v>44</v>
      </c>
      <c r="B46" s="64">
        <v>1</v>
      </c>
      <c r="C46" s="76">
        <v>9.5</v>
      </c>
      <c r="D46" s="67">
        <f>+U18</f>
        <v>1.3003</v>
      </c>
      <c r="E46" s="66">
        <f t="shared" si="1"/>
        <v>37.058549999999997</v>
      </c>
      <c r="F46" s="64">
        <v>1</v>
      </c>
      <c r="G46" s="76">
        <f t="shared" si="2"/>
        <v>9.5</v>
      </c>
      <c r="H46" s="67">
        <f t="shared" si="3"/>
        <v>1.3003</v>
      </c>
      <c r="I46" s="66">
        <f t="shared" si="4"/>
        <v>37.058549999999997</v>
      </c>
      <c r="J46" s="64">
        <v>2</v>
      </c>
      <c r="K46" s="76">
        <f>+G46</f>
        <v>9.5</v>
      </c>
      <c r="L46" s="67">
        <f t="shared" si="5"/>
        <v>1.3003</v>
      </c>
      <c r="M46" s="66">
        <f t="shared" si="6"/>
        <v>74.117099999999994</v>
      </c>
      <c r="N46" s="64">
        <v>2</v>
      </c>
      <c r="O46" s="76">
        <f t="shared" si="7"/>
        <v>9.5</v>
      </c>
      <c r="P46" s="67">
        <f t="shared" si="8"/>
        <v>1.3003</v>
      </c>
      <c r="Q46" s="66">
        <f t="shared" si="9"/>
        <v>74.117099999999994</v>
      </c>
      <c r="R46" s="85">
        <f t="shared" si="10"/>
        <v>1.5</v>
      </c>
      <c r="S46" s="81">
        <f t="shared" si="11"/>
        <v>222.35129999999998</v>
      </c>
      <c r="T46" s="66">
        <f t="shared" si="12"/>
        <v>61.76424999999999</v>
      </c>
    </row>
    <row r="47" spans="1:20">
      <c r="A47" t="s">
        <v>45</v>
      </c>
      <c r="B47" s="75">
        <v>1</v>
      </c>
      <c r="C47" s="76">
        <v>8</v>
      </c>
      <c r="D47" s="67">
        <f>+U18</f>
        <v>1.3003</v>
      </c>
      <c r="E47" s="77">
        <f t="shared" si="1"/>
        <v>31.2072</v>
      </c>
      <c r="F47" s="75">
        <v>1</v>
      </c>
      <c r="G47" s="76">
        <f t="shared" si="2"/>
        <v>8</v>
      </c>
      <c r="H47" s="67">
        <f t="shared" si="3"/>
        <v>1.3003</v>
      </c>
      <c r="I47" s="77">
        <f t="shared" si="4"/>
        <v>31.2072</v>
      </c>
      <c r="J47" s="75">
        <v>1</v>
      </c>
      <c r="K47" s="76">
        <f>+G47</f>
        <v>8</v>
      </c>
      <c r="L47" s="67">
        <f t="shared" si="5"/>
        <v>1.3003</v>
      </c>
      <c r="M47" s="77">
        <f t="shared" si="6"/>
        <v>31.2072</v>
      </c>
      <c r="N47" s="75">
        <v>1</v>
      </c>
      <c r="O47" s="76">
        <f t="shared" si="7"/>
        <v>8</v>
      </c>
      <c r="P47" s="67">
        <f t="shared" si="8"/>
        <v>1.3003</v>
      </c>
      <c r="Q47" s="77">
        <f t="shared" si="9"/>
        <v>31.2072</v>
      </c>
      <c r="R47" s="86">
        <f t="shared" si="10"/>
        <v>1</v>
      </c>
      <c r="S47" s="81">
        <f t="shared" si="11"/>
        <v>124.8288</v>
      </c>
      <c r="T47" s="77">
        <f t="shared" si="12"/>
        <v>34.674666666666667</v>
      </c>
    </row>
    <row r="48" spans="1:20" ht="13.5" thickBot="1">
      <c r="B48" s="87">
        <f>SUM(B42:B47)</f>
        <v>7</v>
      </c>
      <c r="C48" s="69"/>
      <c r="D48" s="69"/>
      <c r="E48" s="88">
        <f>SUM(E42:E47)</f>
        <v>457.97624999999999</v>
      </c>
      <c r="F48" s="87">
        <f>SUM(F42:F47)</f>
        <v>8</v>
      </c>
      <c r="G48" s="69"/>
      <c r="H48" s="69"/>
      <c r="I48" s="88">
        <f>SUM(I42:I47)</f>
        <v>496.98525000000001</v>
      </c>
      <c r="J48" s="87">
        <f>SUM(J42:J47)</f>
        <v>9</v>
      </c>
      <c r="K48" s="69"/>
      <c r="L48" s="69"/>
      <c r="M48" s="88">
        <f>SUM(M42:M47)</f>
        <v>781.59780000000023</v>
      </c>
      <c r="N48" s="87">
        <f>SUM(N42:N47)</f>
        <v>10</v>
      </c>
      <c r="O48" s="69"/>
      <c r="P48" s="69"/>
      <c r="Q48" s="88">
        <f>SUM(Q42:Q47)</f>
        <v>820.60680000000025</v>
      </c>
      <c r="R48" s="87">
        <f>SUM(R42:R47)</f>
        <v>8.5</v>
      </c>
      <c r="S48" s="69"/>
      <c r="T48" s="88">
        <f>SUM(T42:T47)</f>
        <v>710.32391666666661</v>
      </c>
    </row>
    <row r="49" spans="2:20">
      <c r="B49" s="4">
        <f>+B48+B39+B35+B28+B23+B17+B12</f>
        <v>30</v>
      </c>
      <c r="F49" s="4">
        <f>+F48+F39+F35+F28+F23+F17+F12</f>
        <v>39</v>
      </c>
      <c r="J49" s="4">
        <f>+J48+J39+J35+J28+J23+J17+J12</f>
        <v>50</v>
      </c>
      <c r="N49" s="4">
        <f>+N48+N39+N35+N28+N23+N17+N12</f>
        <v>60</v>
      </c>
      <c r="R49" s="4">
        <f>+R48+R39+R35+R28+R23+R17+R12</f>
        <v>44.75</v>
      </c>
      <c r="T49" s="4">
        <f>+T48+T39+T35+T28+T23+T17+T12</f>
        <v>3336.1662500000002</v>
      </c>
    </row>
  </sheetData>
  <mergeCells count="6">
    <mergeCell ref="B3:Q3"/>
    <mergeCell ref="R4:T4"/>
    <mergeCell ref="B4:E4"/>
    <mergeCell ref="F4:I4"/>
    <mergeCell ref="J4:M4"/>
    <mergeCell ref="N4:Q4"/>
  </mergeCells>
  <pageMargins left="0.7" right="0.7" top="0.75" bottom="0.75" header="0.3" footer="0.3"/>
  <pageSetup paperSize="9" scale="56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theme="9" tint="-0.249977111117893"/>
  </sheetPr>
  <dimension ref="A3:V51"/>
  <sheetViews>
    <sheetView workbookViewId="0"/>
  </sheetViews>
  <sheetFormatPr defaultRowHeight="12.75"/>
  <cols>
    <col min="1" max="1" width="28.7109375" bestFit="1" customWidth="1"/>
    <col min="2" max="2" width="10.28515625" customWidth="1"/>
    <col min="3" max="4" width="9.5703125" customWidth="1"/>
    <col min="6" max="6" width="10.28515625" customWidth="1"/>
    <col min="15" max="15" width="10.28515625" customWidth="1"/>
    <col min="19" max="19" width="9.7109375" customWidth="1"/>
    <col min="20" max="20" width="10.5703125" customWidth="1"/>
    <col min="22" max="22" width="13.42578125" customWidth="1"/>
  </cols>
  <sheetData>
    <row r="3" spans="1:22" ht="13.5" thickBot="1">
      <c r="B3" s="901">
        <v>2013</v>
      </c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</row>
    <row r="4" spans="1:22">
      <c r="B4" s="905" t="s">
        <v>11</v>
      </c>
      <c r="C4" s="906"/>
      <c r="D4" s="906"/>
      <c r="E4" s="907"/>
      <c r="F4" s="908" t="s">
        <v>12</v>
      </c>
      <c r="G4" s="909"/>
      <c r="H4" s="909"/>
      <c r="I4" s="910"/>
      <c r="J4" s="905" t="s">
        <v>13</v>
      </c>
      <c r="K4" s="906"/>
      <c r="L4" s="906"/>
      <c r="M4" s="907"/>
      <c r="N4" s="908" t="s">
        <v>14</v>
      </c>
      <c r="O4" s="909"/>
      <c r="P4" s="909"/>
      <c r="Q4" s="910"/>
      <c r="R4" s="902" t="s">
        <v>48</v>
      </c>
      <c r="S4" s="903"/>
      <c r="T4" s="904"/>
    </row>
    <row r="5" spans="1:22" ht="36" customHeight="1">
      <c r="B5" s="62" t="s">
        <v>46</v>
      </c>
      <c r="C5" s="59" t="s">
        <v>47</v>
      </c>
      <c r="D5" s="59" t="s">
        <v>49</v>
      </c>
      <c r="E5" s="63" t="s">
        <v>48</v>
      </c>
      <c r="F5" s="71" t="s">
        <v>46</v>
      </c>
      <c r="G5" s="58" t="s">
        <v>47</v>
      </c>
      <c r="H5" s="58" t="s">
        <v>49</v>
      </c>
      <c r="I5" s="72" t="s">
        <v>48</v>
      </c>
      <c r="J5" s="73" t="s">
        <v>46</v>
      </c>
      <c r="K5" s="60" t="s">
        <v>47</v>
      </c>
      <c r="L5" s="59" t="s">
        <v>49</v>
      </c>
      <c r="M5" s="74" t="s">
        <v>48</v>
      </c>
      <c r="N5" s="71" t="s">
        <v>46</v>
      </c>
      <c r="O5" s="58" t="s">
        <v>47</v>
      </c>
      <c r="P5" s="58" t="s">
        <v>49</v>
      </c>
      <c r="Q5" s="72" t="s">
        <v>48</v>
      </c>
      <c r="R5" s="82" t="s">
        <v>46</v>
      </c>
      <c r="S5" s="83" t="s">
        <v>48</v>
      </c>
      <c r="T5" s="84" t="s">
        <v>50</v>
      </c>
      <c r="U5" s="38"/>
      <c r="V5" s="31" t="s">
        <v>65</v>
      </c>
    </row>
    <row r="6" spans="1:22">
      <c r="B6" s="64"/>
      <c r="C6" s="26"/>
      <c r="D6" s="26"/>
      <c r="E6" s="65"/>
      <c r="F6" s="64"/>
      <c r="G6" s="26"/>
      <c r="H6" s="26"/>
      <c r="I6" s="65"/>
      <c r="J6" s="64"/>
      <c r="K6" s="26"/>
      <c r="L6" s="26"/>
      <c r="M6" s="65"/>
      <c r="N6" s="64"/>
      <c r="O6" s="26"/>
      <c r="P6" s="26"/>
      <c r="Q6" s="65"/>
      <c r="R6" s="64"/>
      <c r="S6" s="26"/>
      <c r="T6" s="65"/>
      <c r="U6" s="61">
        <v>0.01</v>
      </c>
      <c r="V6" t="s">
        <v>55</v>
      </c>
    </row>
    <row r="7" spans="1:22">
      <c r="B7" s="64"/>
      <c r="C7" s="26"/>
      <c r="D7" s="26"/>
      <c r="E7" s="65"/>
      <c r="F7" s="64"/>
      <c r="G7" s="26"/>
      <c r="H7" s="26"/>
      <c r="I7" s="65"/>
      <c r="J7" s="64"/>
      <c r="K7" s="26"/>
      <c r="L7" s="26"/>
      <c r="M7" s="65"/>
      <c r="N7" s="64"/>
      <c r="O7" s="26"/>
      <c r="P7" s="26"/>
      <c r="Q7" s="65"/>
      <c r="R7" s="64"/>
      <c r="S7" s="93" t="s">
        <v>66</v>
      </c>
      <c r="T7" s="94">
        <v>3.7</v>
      </c>
      <c r="U7" s="61">
        <v>4.7E-2</v>
      </c>
      <c r="V7" t="s">
        <v>54</v>
      </c>
    </row>
    <row r="8" spans="1:22">
      <c r="A8" s="31" t="s">
        <v>34</v>
      </c>
      <c r="B8" s="64"/>
      <c r="C8" s="26"/>
      <c r="D8" s="26"/>
      <c r="E8" s="66"/>
      <c r="F8" s="64"/>
      <c r="G8" s="26"/>
      <c r="H8" s="26"/>
      <c r="I8" s="65"/>
      <c r="J8" s="64"/>
      <c r="K8" s="26"/>
      <c r="L8" s="26"/>
      <c r="M8" s="65"/>
      <c r="N8" s="64"/>
      <c r="O8" s="26"/>
      <c r="P8" s="26"/>
      <c r="Q8" s="65"/>
      <c r="R8" s="64"/>
      <c r="S8" s="26"/>
      <c r="T8" s="65"/>
      <c r="U8" s="61">
        <v>0.05</v>
      </c>
      <c r="V8" t="s">
        <v>51</v>
      </c>
    </row>
    <row r="9" spans="1:22">
      <c r="A9" t="s">
        <v>35</v>
      </c>
      <c r="B9" s="64">
        <v>1</v>
      </c>
      <c r="C9" s="76">
        <v>23</v>
      </c>
      <c r="D9" s="67">
        <f>+U17</f>
        <v>1.3753</v>
      </c>
      <c r="E9" s="66">
        <f>+B9*C9*D9*3</f>
        <v>94.895699999999991</v>
      </c>
      <c r="F9" s="64">
        <v>1</v>
      </c>
      <c r="G9" s="76">
        <f>+C9</f>
        <v>23</v>
      </c>
      <c r="H9" s="67">
        <f>+D9</f>
        <v>1.3753</v>
      </c>
      <c r="I9" s="66">
        <f>+F9*G9*H9*3</f>
        <v>94.895699999999991</v>
      </c>
      <c r="J9" s="64">
        <v>1</v>
      </c>
      <c r="K9" s="76">
        <f>+G9</f>
        <v>23</v>
      </c>
      <c r="L9" s="67">
        <f>+D9</f>
        <v>1.3753</v>
      </c>
      <c r="M9" s="66">
        <f>+J9*K9*L9*3</f>
        <v>94.895699999999991</v>
      </c>
      <c r="N9" s="64">
        <v>1</v>
      </c>
      <c r="O9" s="76">
        <f>+K9</f>
        <v>23</v>
      </c>
      <c r="P9" s="67">
        <f>+D9</f>
        <v>1.3753</v>
      </c>
      <c r="Q9" s="66">
        <f>+N9*O9*P9*3</f>
        <v>94.895699999999991</v>
      </c>
      <c r="R9" s="85">
        <f>(+N9+J9+F9+B9)/4</f>
        <v>1</v>
      </c>
      <c r="S9" s="81">
        <f>+Q9+M9+I9+E9</f>
        <v>379.58279999999996</v>
      </c>
      <c r="T9" s="66">
        <f>+S9/$T$7</f>
        <v>102.58994594594593</v>
      </c>
      <c r="U9" s="61">
        <v>8.3299999999999999E-2</v>
      </c>
      <c r="V9" t="s">
        <v>52</v>
      </c>
    </row>
    <row r="10" spans="1:22">
      <c r="A10" t="s">
        <v>36</v>
      </c>
      <c r="B10" s="64">
        <v>1</v>
      </c>
      <c r="C10" s="76">
        <v>12.5</v>
      </c>
      <c r="D10" s="67">
        <f>+U18</f>
        <v>1.3003</v>
      </c>
      <c r="E10" s="66">
        <f>+B10*C10*D10*3</f>
        <v>48.761250000000004</v>
      </c>
      <c r="F10" s="64">
        <v>2</v>
      </c>
      <c r="G10" s="76">
        <v>12.5</v>
      </c>
      <c r="H10" s="67">
        <f>+D10</f>
        <v>1.3003</v>
      </c>
      <c r="I10" s="66">
        <f>+F10*G10*H10*3</f>
        <v>97.522500000000008</v>
      </c>
      <c r="J10" s="64">
        <v>2</v>
      </c>
      <c r="K10" s="76">
        <v>12.5</v>
      </c>
      <c r="L10" s="67">
        <f>+D10</f>
        <v>1.3003</v>
      </c>
      <c r="M10" s="66">
        <f>+J10*K10*L10*3</f>
        <v>97.522500000000008</v>
      </c>
      <c r="N10" s="64">
        <v>2</v>
      </c>
      <c r="O10" s="76">
        <v>12.5</v>
      </c>
      <c r="P10" s="67">
        <f>+D10</f>
        <v>1.3003</v>
      </c>
      <c r="Q10" s="66">
        <f>+N10*O10*P10*3</f>
        <v>97.522500000000008</v>
      </c>
      <c r="R10" s="85">
        <f>(+N10+J10+F10+B10)/4</f>
        <v>1.75</v>
      </c>
      <c r="S10" s="81">
        <f>+Q10+M10+I10+E10</f>
        <v>341.32875000000001</v>
      </c>
      <c r="T10" s="66">
        <f>+S10/$T$7</f>
        <v>92.251013513513513</v>
      </c>
      <c r="U10" s="61">
        <v>7.4999999999999997E-2</v>
      </c>
      <c r="V10" t="s">
        <v>53</v>
      </c>
    </row>
    <row r="11" spans="1:22">
      <c r="A11" t="s">
        <v>37</v>
      </c>
      <c r="B11" s="75">
        <v>13</v>
      </c>
      <c r="C11" s="76">
        <v>6</v>
      </c>
      <c r="D11" s="67">
        <f>$U$19</f>
        <v>1.2402</v>
      </c>
      <c r="E11" s="77">
        <f>+B11*C11*D11*3</f>
        <v>290.20679999999999</v>
      </c>
      <c r="F11" s="75">
        <v>14</v>
      </c>
      <c r="G11" s="76">
        <v>6</v>
      </c>
      <c r="H11" s="67">
        <f>+D11</f>
        <v>1.2402</v>
      </c>
      <c r="I11" s="77">
        <f>+F11*G11*H11*3</f>
        <v>312.53039999999999</v>
      </c>
      <c r="J11" s="75">
        <v>16</v>
      </c>
      <c r="K11" s="76">
        <v>6</v>
      </c>
      <c r="L11" s="67">
        <f>+D11</f>
        <v>1.2402</v>
      </c>
      <c r="M11" s="77">
        <f>+J11*K11*L11*3</f>
        <v>357.17759999999998</v>
      </c>
      <c r="N11" s="75">
        <v>20</v>
      </c>
      <c r="O11" s="76">
        <v>6</v>
      </c>
      <c r="P11" s="67">
        <f>+D11</f>
        <v>1.2402</v>
      </c>
      <c r="Q11" s="77">
        <f>+N11*O11*P11*3</f>
        <v>446.47199999999998</v>
      </c>
      <c r="R11" s="86">
        <f>(+N11+J11+F11+B11)/4</f>
        <v>15.75</v>
      </c>
      <c r="S11" s="78">
        <f>+Q11+M11+I11+E11</f>
        <v>1406.3867999999998</v>
      </c>
      <c r="T11" s="77">
        <f>+S11/$T$7</f>
        <v>380.10454054054048</v>
      </c>
      <c r="U11" s="61">
        <f>4.16*2/100</f>
        <v>8.3199999999999996E-2</v>
      </c>
      <c r="V11" t="s">
        <v>58</v>
      </c>
    </row>
    <row r="12" spans="1:22">
      <c r="B12" s="64">
        <f>SUM(B9:B11)</f>
        <v>15</v>
      </c>
      <c r="C12" s="26"/>
      <c r="D12" s="26"/>
      <c r="E12" s="68">
        <f>SUM(E9:E11)</f>
        <v>433.86374999999998</v>
      </c>
      <c r="F12" s="64">
        <f>SUM(F9:F11)</f>
        <v>17</v>
      </c>
      <c r="G12" s="26"/>
      <c r="H12" s="26"/>
      <c r="I12" s="68">
        <f>SUM(I9:I11)</f>
        <v>504.9486</v>
      </c>
      <c r="J12" s="64">
        <f>SUM(J9:J11)</f>
        <v>19</v>
      </c>
      <c r="K12" s="26"/>
      <c r="L12" s="26"/>
      <c r="M12" s="68">
        <f>SUM(M9:M11)</f>
        <v>549.59580000000005</v>
      </c>
      <c r="N12" s="64">
        <f>SUM(N9:N11)</f>
        <v>23</v>
      </c>
      <c r="O12" s="26"/>
      <c r="P12" s="26"/>
      <c r="Q12" s="68">
        <f>SUM(Q9:Q11)</f>
        <v>638.89020000000005</v>
      </c>
      <c r="R12" s="85">
        <f>SUM(R9:R11)</f>
        <v>18.5</v>
      </c>
      <c r="S12" s="81">
        <f>SUM(S9:S11)</f>
        <v>2127.29835</v>
      </c>
      <c r="T12" s="66">
        <f>SUM(T9:T11)</f>
        <v>574.94549999999992</v>
      </c>
      <c r="U12" s="61">
        <v>0.03</v>
      </c>
      <c r="V12" t="s">
        <v>61</v>
      </c>
    </row>
    <row r="13" spans="1:22">
      <c r="B13" s="64"/>
      <c r="C13" s="26"/>
      <c r="D13" s="26"/>
      <c r="E13" s="65"/>
      <c r="F13" s="64"/>
      <c r="G13" s="26"/>
      <c r="H13" s="26"/>
      <c r="I13" s="65"/>
      <c r="J13" s="64"/>
      <c r="K13" s="26"/>
      <c r="L13" s="26"/>
      <c r="M13" s="65"/>
      <c r="N13" s="64"/>
      <c r="O13" s="26"/>
      <c r="P13" s="26"/>
      <c r="Q13" s="65"/>
      <c r="R13" s="85"/>
      <c r="S13" s="26"/>
      <c r="T13" s="65"/>
      <c r="U13" s="95">
        <v>0.08</v>
      </c>
      <c r="V13" t="s">
        <v>76</v>
      </c>
    </row>
    <row r="14" spans="1:22">
      <c r="A14" s="31" t="s">
        <v>38</v>
      </c>
      <c r="B14" s="64"/>
      <c r="C14" s="26"/>
      <c r="D14" s="26"/>
      <c r="E14" s="65"/>
      <c r="F14" s="64"/>
      <c r="G14" s="26"/>
      <c r="H14" s="26"/>
      <c r="I14" s="65"/>
      <c r="J14" s="64"/>
      <c r="K14" s="26"/>
      <c r="L14" s="26"/>
      <c r="M14" s="65"/>
      <c r="N14" s="64"/>
      <c r="O14" s="26"/>
      <c r="P14" s="26"/>
      <c r="Q14" s="65"/>
      <c r="R14" s="85"/>
      <c r="S14" s="26"/>
      <c r="T14" s="65"/>
    </row>
    <row r="15" spans="1:22">
      <c r="A15" t="s">
        <v>39</v>
      </c>
      <c r="B15" s="64">
        <v>1</v>
      </c>
      <c r="C15" s="76">
        <f>+C10</f>
        <v>12.5</v>
      </c>
      <c r="D15" s="79">
        <f>+U17</f>
        <v>1.3753</v>
      </c>
      <c r="E15" s="66">
        <f>+B15*C15*D15*3</f>
        <v>51.573750000000004</v>
      </c>
      <c r="F15" s="64">
        <v>1</v>
      </c>
      <c r="G15" s="76">
        <f>+G10</f>
        <v>12.5</v>
      </c>
      <c r="H15" s="79">
        <f>+D15</f>
        <v>1.3753</v>
      </c>
      <c r="I15" s="66">
        <f>+F15*G15*H15*3</f>
        <v>51.573750000000004</v>
      </c>
      <c r="J15" s="64">
        <v>1</v>
      </c>
      <c r="K15" s="76">
        <f>+K10</f>
        <v>12.5</v>
      </c>
      <c r="L15" s="79">
        <f>+H15</f>
        <v>1.3753</v>
      </c>
      <c r="M15" s="66">
        <f>+J15*K15*L15*3</f>
        <v>51.573750000000004</v>
      </c>
      <c r="N15" s="64">
        <v>1</v>
      </c>
      <c r="O15" s="76">
        <f>+O10</f>
        <v>12.5</v>
      </c>
      <c r="P15" s="79">
        <f>+D15</f>
        <v>1.3753</v>
      </c>
      <c r="Q15" s="66">
        <f>+N15*O15*P15*3</f>
        <v>51.573750000000004</v>
      </c>
      <c r="R15" s="85">
        <f>(+N15+J15+F15+B15)/4</f>
        <v>1</v>
      </c>
      <c r="S15" s="81">
        <f>+Q15+M15+I15+E15</f>
        <v>206.29500000000002</v>
      </c>
      <c r="T15" s="66">
        <f>+S15/$T$7</f>
        <v>55.755405405405405</v>
      </c>
    </row>
    <row r="16" spans="1:22" ht="13.5" thickBot="1">
      <c r="A16" t="s">
        <v>40</v>
      </c>
      <c r="B16" s="75">
        <v>8</v>
      </c>
      <c r="C16" s="76">
        <v>9</v>
      </c>
      <c r="D16" s="79">
        <f>+U18</f>
        <v>1.3003</v>
      </c>
      <c r="E16" s="66">
        <f>+B16*C16*D16*3</f>
        <v>280.8648</v>
      </c>
      <c r="F16" s="75">
        <v>9</v>
      </c>
      <c r="G16" s="76">
        <v>9</v>
      </c>
      <c r="H16" s="79">
        <f>+D16</f>
        <v>1.3003</v>
      </c>
      <c r="I16" s="66">
        <f>+F16*G16*H16*3</f>
        <v>315.97289999999998</v>
      </c>
      <c r="J16" s="75">
        <v>10</v>
      </c>
      <c r="K16" s="76">
        <v>9</v>
      </c>
      <c r="L16" s="79">
        <f>+D16</f>
        <v>1.3003</v>
      </c>
      <c r="M16" s="66">
        <f>+J16*K16*L16*3</f>
        <v>351.08100000000002</v>
      </c>
      <c r="N16" s="75">
        <v>11</v>
      </c>
      <c r="O16" s="76">
        <v>9</v>
      </c>
      <c r="P16" s="79">
        <f>+D16</f>
        <v>1.3003</v>
      </c>
      <c r="Q16" s="66">
        <f>+N16*O16*P16*3</f>
        <v>386.18910000000005</v>
      </c>
      <c r="R16" s="86">
        <f>(+N16+J16+F16+B16)/4</f>
        <v>9.5</v>
      </c>
      <c r="S16" s="81">
        <f>+Q16+M16+I16+E16</f>
        <v>1334.1078</v>
      </c>
      <c r="T16" s="66">
        <f>+S16/$T$7</f>
        <v>360.56967567567568</v>
      </c>
    </row>
    <row r="17" spans="1:22">
      <c r="B17" s="64">
        <f>SUM(B14:B16)</f>
        <v>9</v>
      </c>
      <c r="C17" s="26"/>
      <c r="D17" s="26"/>
      <c r="E17" s="80">
        <f>SUM(E15:E16)</f>
        <v>332.43855000000002</v>
      </c>
      <c r="F17" s="64">
        <f>SUM(F14:F16)</f>
        <v>10</v>
      </c>
      <c r="G17" s="26"/>
      <c r="H17" s="26"/>
      <c r="I17" s="80">
        <f>SUM(I15:I16)</f>
        <v>367.54665</v>
      </c>
      <c r="J17" s="64">
        <f>SUM(J15:J16)</f>
        <v>11</v>
      </c>
      <c r="K17" s="26"/>
      <c r="L17" s="26"/>
      <c r="M17" s="80">
        <f>SUM(M15:M16)</f>
        <v>402.65475000000004</v>
      </c>
      <c r="N17" s="64">
        <f>SUM(N15:N16)</f>
        <v>12</v>
      </c>
      <c r="O17" s="26"/>
      <c r="P17" s="26"/>
      <c r="Q17" s="80">
        <f>SUM(Q15:Q16)</f>
        <v>437.76285000000007</v>
      </c>
      <c r="R17" s="85">
        <f>SUM(R15:R16)</f>
        <v>10.5</v>
      </c>
      <c r="S17" s="26"/>
      <c r="T17" s="80">
        <f>SUM(T15:T16)</f>
        <v>416.32508108108107</v>
      </c>
      <c r="U17" s="89">
        <f>+U10+U9+U8+U7+U6+U12++U13+1</f>
        <v>1.3753</v>
      </c>
      <c r="V17" s="90" t="s">
        <v>56</v>
      </c>
    </row>
    <row r="18" spans="1:22">
      <c r="B18" s="64"/>
      <c r="C18" s="26"/>
      <c r="D18" s="26"/>
      <c r="E18" s="65"/>
      <c r="F18" s="64"/>
      <c r="G18" s="26"/>
      <c r="H18" s="26"/>
      <c r="I18" s="65"/>
      <c r="J18" s="64"/>
      <c r="K18" s="26"/>
      <c r="L18" s="26"/>
      <c r="M18" s="65"/>
      <c r="N18" s="64"/>
      <c r="O18" s="26"/>
      <c r="P18" s="26"/>
      <c r="Q18" s="65"/>
      <c r="R18" s="85"/>
      <c r="S18" s="26"/>
      <c r="T18" s="65"/>
      <c r="U18" s="91">
        <f>+U9+U8+U7+U6+U12+U13+1</f>
        <v>1.3003</v>
      </c>
      <c r="V18" s="65" t="s">
        <v>57</v>
      </c>
    </row>
    <row r="19" spans="1:22" ht="13.5" thickBot="1">
      <c r="B19" s="64"/>
      <c r="C19" s="26"/>
      <c r="D19" s="26"/>
      <c r="E19" s="65"/>
      <c r="F19" s="64"/>
      <c r="G19" s="26"/>
      <c r="H19" s="26"/>
      <c r="I19" s="65"/>
      <c r="J19" s="64"/>
      <c r="K19" s="26"/>
      <c r="L19" s="26"/>
      <c r="M19" s="65"/>
      <c r="N19" s="64"/>
      <c r="O19" s="26"/>
      <c r="P19" s="26"/>
      <c r="Q19" s="65"/>
      <c r="R19" s="85"/>
      <c r="S19" s="26"/>
      <c r="T19" s="65"/>
      <c r="U19" s="92">
        <f>+U7+U11+U12+U13+1</f>
        <v>1.2402</v>
      </c>
      <c r="V19" s="70" t="s">
        <v>58</v>
      </c>
    </row>
    <row r="20" spans="1:22">
      <c r="A20" s="31" t="s">
        <v>2</v>
      </c>
      <c r="B20" s="64"/>
      <c r="C20" s="26"/>
      <c r="D20" s="26"/>
      <c r="E20" s="65"/>
      <c r="F20" s="64"/>
      <c r="G20" s="26"/>
      <c r="H20" s="26"/>
      <c r="I20" s="65"/>
      <c r="J20" s="64"/>
      <c r="K20" s="26"/>
      <c r="L20" s="26"/>
      <c r="M20" s="65"/>
      <c r="N20" s="64"/>
      <c r="O20" s="26"/>
      <c r="P20" s="26"/>
      <c r="Q20" s="65"/>
      <c r="R20" s="85"/>
      <c r="S20" s="26"/>
      <c r="T20" s="65"/>
    </row>
    <row r="21" spans="1:22">
      <c r="A21" t="s">
        <v>71</v>
      </c>
      <c r="B21" s="64">
        <v>1</v>
      </c>
      <c r="C21" s="76">
        <v>30</v>
      </c>
      <c r="D21" s="79">
        <f>+$U$17</f>
        <v>1.3753</v>
      </c>
      <c r="E21" s="66">
        <f>+B21*C21*D21*3</f>
        <v>123.777</v>
      </c>
      <c r="F21" s="64">
        <v>1</v>
      </c>
      <c r="G21" s="76">
        <v>30</v>
      </c>
      <c r="H21" s="79">
        <f>+$U$17</f>
        <v>1.3753</v>
      </c>
      <c r="I21" s="66">
        <f>+F21*G21*H21*3</f>
        <v>123.777</v>
      </c>
      <c r="J21" s="64">
        <v>1</v>
      </c>
      <c r="K21" s="76">
        <v>30</v>
      </c>
      <c r="L21" s="79">
        <f>+$U$17</f>
        <v>1.3753</v>
      </c>
      <c r="M21" s="66">
        <f>+J21*K21*L21*3</f>
        <v>123.777</v>
      </c>
      <c r="N21" s="64">
        <v>1</v>
      </c>
      <c r="O21" s="76">
        <v>30</v>
      </c>
      <c r="P21" s="79">
        <f>+$U$17</f>
        <v>1.3753</v>
      </c>
      <c r="Q21" s="66">
        <f>+N21*O21*P21*3</f>
        <v>123.777</v>
      </c>
      <c r="R21" s="85">
        <f>(+N21+J21+F21+B21)/4</f>
        <v>1</v>
      </c>
      <c r="S21" s="81">
        <f>+Q21+M21+I21+E21</f>
        <v>495.108</v>
      </c>
      <c r="T21" s="66">
        <f>+S21/$T$7</f>
        <v>133.81297297297297</v>
      </c>
    </row>
    <row r="22" spans="1:22">
      <c r="A22" t="s">
        <v>73</v>
      </c>
      <c r="B22" s="75">
        <v>6</v>
      </c>
      <c r="C22" s="76">
        <v>8</v>
      </c>
      <c r="D22" s="79">
        <f>+$U$18</f>
        <v>1.3003</v>
      </c>
      <c r="E22" s="66">
        <f>+B22*C22*D22*3</f>
        <v>187.2432</v>
      </c>
      <c r="F22" s="75">
        <v>7</v>
      </c>
      <c r="G22" s="76">
        <v>8</v>
      </c>
      <c r="H22" s="79">
        <f>+$U$18</f>
        <v>1.3003</v>
      </c>
      <c r="I22" s="66">
        <f>+F22*G22*H22*3</f>
        <v>218.4504</v>
      </c>
      <c r="J22" s="75">
        <v>9</v>
      </c>
      <c r="K22" s="76">
        <v>8</v>
      </c>
      <c r="L22" s="79">
        <f>+$U$18</f>
        <v>1.3003</v>
      </c>
      <c r="M22" s="66">
        <f>+J22*K22*L22*3</f>
        <v>280.8648</v>
      </c>
      <c r="N22" s="75">
        <v>10</v>
      </c>
      <c r="O22" s="76">
        <v>8</v>
      </c>
      <c r="P22" s="79">
        <f>+$U$18</f>
        <v>1.3003</v>
      </c>
      <c r="Q22" s="66">
        <f>+N22*O22*P22*3</f>
        <v>312.072</v>
      </c>
      <c r="R22" s="86">
        <f>(+N22+J22+F22+B22)/4</f>
        <v>8</v>
      </c>
      <c r="S22" s="81">
        <f>+Q22+M22+I22+E22</f>
        <v>998.6303999999999</v>
      </c>
      <c r="T22" s="66">
        <f>+S22/$T$7</f>
        <v>269.90010810810804</v>
      </c>
    </row>
    <row r="23" spans="1:22">
      <c r="B23" s="64">
        <f>SUM(B20:B22)</f>
        <v>7</v>
      </c>
      <c r="C23" s="26"/>
      <c r="D23" s="26"/>
      <c r="E23" s="80">
        <f>SUM(E21:E22)</f>
        <v>311.02019999999999</v>
      </c>
      <c r="F23" s="64">
        <f>SUM(F20:F22)</f>
        <v>8</v>
      </c>
      <c r="G23" s="26"/>
      <c r="H23" s="26"/>
      <c r="I23" s="80">
        <f>SUM(I21:I22)</f>
        <v>342.22739999999999</v>
      </c>
      <c r="J23" s="64">
        <f>SUM(J20:J22)</f>
        <v>10</v>
      </c>
      <c r="K23" s="26"/>
      <c r="L23" s="26"/>
      <c r="M23" s="80">
        <f>SUM(M21:M22)</f>
        <v>404.64179999999999</v>
      </c>
      <c r="N23" s="64">
        <f>SUM(N20:N22)</f>
        <v>11</v>
      </c>
      <c r="O23" s="26"/>
      <c r="P23" s="26"/>
      <c r="Q23" s="80">
        <f>SUM(Q21:Q22)</f>
        <v>435.84899999999999</v>
      </c>
      <c r="R23" s="85">
        <f>SUM(R21:R22)</f>
        <v>9</v>
      </c>
      <c r="S23" s="26"/>
      <c r="T23" s="80">
        <f>SUM(T21:T22)</f>
        <v>403.71308108108099</v>
      </c>
    </row>
    <row r="24" spans="1:22">
      <c r="B24" s="64"/>
      <c r="C24" s="26"/>
      <c r="D24" s="26"/>
      <c r="E24" s="68"/>
      <c r="F24" s="64"/>
      <c r="G24" s="26"/>
      <c r="H24" s="26"/>
      <c r="I24" s="68"/>
      <c r="J24" s="64"/>
      <c r="K24" s="26"/>
      <c r="L24" s="26"/>
      <c r="M24" s="68"/>
      <c r="N24" s="64"/>
      <c r="O24" s="26"/>
      <c r="P24" s="26"/>
      <c r="Q24" s="68"/>
      <c r="R24" s="85"/>
      <c r="S24" s="26"/>
      <c r="T24" s="68"/>
    </row>
    <row r="25" spans="1:22">
      <c r="A25" s="31" t="s">
        <v>59</v>
      </c>
      <c r="B25" s="64"/>
      <c r="C25" s="26"/>
      <c r="D25" s="26"/>
      <c r="E25" s="65"/>
      <c r="F25" s="64"/>
      <c r="G25" s="26"/>
      <c r="H25" s="26"/>
      <c r="I25" s="65"/>
      <c r="J25" s="64"/>
      <c r="K25" s="26"/>
      <c r="L25" s="26"/>
      <c r="M25" s="65"/>
      <c r="N25" s="64"/>
      <c r="O25" s="26"/>
      <c r="P25" s="26"/>
      <c r="Q25" s="65"/>
      <c r="R25" s="85"/>
      <c r="S25" s="26"/>
      <c r="T25" s="65"/>
    </row>
    <row r="26" spans="1:22">
      <c r="A26" t="s">
        <v>72</v>
      </c>
      <c r="B26" s="64">
        <v>1</v>
      </c>
      <c r="C26" s="76">
        <v>25</v>
      </c>
      <c r="D26" s="79">
        <f>+$U$17</f>
        <v>1.3753</v>
      </c>
      <c r="E26" s="66">
        <f>+B26*C26*D26*3</f>
        <v>103.14750000000001</v>
      </c>
      <c r="F26" s="64">
        <v>1</v>
      </c>
      <c r="G26" s="76">
        <v>25</v>
      </c>
      <c r="H26" s="79">
        <f>+$U$17</f>
        <v>1.3753</v>
      </c>
      <c r="I26" s="66">
        <f>+F26*G26*H26*3</f>
        <v>103.14750000000001</v>
      </c>
      <c r="J26" s="64">
        <v>1</v>
      </c>
      <c r="K26" s="76">
        <v>25</v>
      </c>
      <c r="L26" s="79">
        <f>+$U$17</f>
        <v>1.3753</v>
      </c>
      <c r="M26" s="66">
        <f>+J26*K26*L26*3</f>
        <v>103.14750000000001</v>
      </c>
      <c r="N26" s="64">
        <v>1</v>
      </c>
      <c r="O26" s="76">
        <v>25</v>
      </c>
      <c r="P26" s="79">
        <f>+$U$17</f>
        <v>1.3753</v>
      </c>
      <c r="Q26" s="66">
        <f>+N26*O26*P26*3</f>
        <v>103.14750000000001</v>
      </c>
      <c r="R26" s="85">
        <f>(+N26+J26+F26+B26)/4</f>
        <v>1</v>
      </c>
      <c r="S26" s="81">
        <f>+Q26+M26+I26+E26</f>
        <v>412.59000000000003</v>
      </c>
      <c r="T26" s="66">
        <f>+S26/$T$7</f>
        <v>111.51081081081081</v>
      </c>
    </row>
    <row r="27" spans="1:22">
      <c r="A27" t="s">
        <v>74</v>
      </c>
      <c r="B27" s="75">
        <v>10</v>
      </c>
      <c r="C27" s="76">
        <v>8</v>
      </c>
      <c r="D27" s="79">
        <f>+$U$18</f>
        <v>1.3003</v>
      </c>
      <c r="E27" s="66">
        <f>+B27*C27*D27*3</f>
        <v>312.072</v>
      </c>
      <c r="F27" s="75">
        <v>11</v>
      </c>
      <c r="G27" s="76">
        <v>8</v>
      </c>
      <c r="H27" s="79">
        <f>+$U$18</f>
        <v>1.3003</v>
      </c>
      <c r="I27" s="66">
        <f>+F27*G27*H27*3</f>
        <v>343.2792</v>
      </c>
      <c r="J27" s="75">
        <v>12</v>
      </c>
      <c r="K27" s="76">
        <v>8</v>
      </c>
      <c r="L27" s="79">
        <f>+$U$18</f>
        <v>1.3003</v>
      </c>
      <c r="M27" s="66">
        <f>+J27*K27*L27*3</f>
        <v>374.4864</v>
      </c>
      <c r="N27" s="75">
        <v>12</v>
      </c>
      <c r="O27" s="76">
        <v>8</v>
      </c>
      <c r="P27" s="79">
        <f>+$U$18</f>
        <v>1.3003</v>
      </c>
      <c r="Q27" s="66">
        <f>+N27*O27*P27*3</f>
        <v>374.4864</v>
      </c>
      <c r="R27" s="86">
        <f>(+N27+J27+F27+B27)/4</f>
        <v>11.25</v>
      </c>
      <c r="S27" s="81">
        <f>+Q27+M27+I27+E27</f>
        <v>1404.3240000000001</v>
      </c>
      <c r="T27" s="66">
        <f>+S27/$T$7</f>
        <v>379.54702702702701</v>
      </c>
    </row>
    <row r="28" spans="1:22">
      <c r="B28" s="64">
        <f>SUM(B25:B27)</f>
        <v>11</v>
      </c>
      <c r="C28" s="26"/>
      <c r="D28" s="26"/>
      <c r="E28" s="80">
        <f>SUM(E26:E27)</f>
        <v>415.21950000000004</v>
      </c>
      <c r="F28" s="64">
        <f>SUM(F25:F27)</f>
        <v>12</v>
      </c>
      <c r="G28" s="26"/>
      <c r="H28" s="26"/>
      <c r="I28" s="80">
        <f>SUM(I26:I27)</f>
        <v>446.42669999999998</v>
      </c>
      <c r="J28" s="64">
        <f>SUM(J25:J27)</f>
        <v>13</v>
      </c>
      <c r="K28" s="26"/>
      <c r="L28" s="26"/>
      <c r="M28" s="80">
        <f>SUM(M26:M27)</f>
        <v>477.63390000000004</v>
      </c>
      <c r="N28" s="64">
        <f>SUM(N25:N27)</f>
        <v>13</v>
      </c>
      <c r="O28" s="26"/>
      <c r="P28" s="26"/>
      <c r="Q28" s="80">
        <f>SUM(Q26:Q27)</f>
        <v>477.63390000000004</v>
      </c>
      <c r="R28" s="85">
        <f>SUM(R26:R27)</f>
        <v>12.25</v>
      </c>
      <c r="S28" s="26"/>
      <c r="T28" s="80">
        <f>SUM(T26:T27)</f>
        <v>491.05783783783784</v>
      </c>
    </row>
    <row r="29" spans="1:22">
      <c r="B29" s="64"/>
      <c r="C29" s="26"/>
      <c r="D29" s="26"/>
      <c r="E29" s="65"/>
      <c r="F29" s="64"/>
      <c r="G29" s="26"/>
      <c r="H29" s="26"/>
      <c r="I29" s="65"/>
      <c r="J29" s="64"/>
      <c r="K29" s="26"/>
      <c r="L29" s="26"/>
      <c r="M29" s="65"/>
      <c r="N29" s="64"/>
      <c r="O29" s="26"/>
      <c r="P29" s="26"/>
      <c r="Q29" s="65"/>
      <c r="R29" s="85"/>
      <c r="S29" s="26"/>
      <c r="T29" s="65"/>
    </row>
    <row r="30" spans="1:22">
      <c r="A30" s="31" t="s">
        <v>32</v>
      </c>
      <c r="B30" s="64"/>
      <c r="C30" s="26"/>
      <c r="D30" s="26"/>
      <c r="E30" s="65"/>
      <c r="F30" s="64"/>
      <c r="G30" s="26"/>
      <c r="H30" s="26"/>
      <c r="I30" s="65"/>
      <c r="J30" s="64"/>
      <c r="K30" s="26"/>
      <c r="L30" s="26"/>
      <c r="M30" s="65"/>
      <c r="N30" s="64"/>
      <c r="O30" s="26"/>
      <c r="P30" s="26"/>
      <c r="Q30" s="65"/>
      <c r="R30" s="64"/>
      <c r="S30" s="26"/>
      <c r="T30" s="65"/>
    </row>
    <row r="31" spans="1:22">
      <c r="A31" t="s">
        <v>75</v>
      </c>
      <c r="B31" s="64">
        <v>1</v>
      </c>
      <c r="C31" s="76">
        <v>50</v>
      </c>
      <c r="D31" s="67">
        <f>+U17</f>
        <v>1.3753</v>
      </c>
      <c r="E31" s="66">
        <f>+B31*C31*D31*3</f>
        <v>206.29500000000002</v>
      </c>
      <c r="F31" s="64">
        <v>1</v>
      </c>
      <c r="G31" s="76">
        <f t="shared" ref="G31:H33" si="0">+C31</f>
        <v>50</v>
      </c>
      <c r="H31" s="67">
        <f t="shared" si="0"/>
        <v>1.3753</v>
      </c>
      <c r="I31" s="66">
        <f>+F31*G31*H31*3</f>
        <v>206.29500000000002</v>
      </c>
      <c r="J31" s="64">
        <v>1</v>
      </c>
      <c r="K31" s="76">
        <f>+G31</f>
        <v>50</v>
      </c>
      <c r="L31" s="67">
        <f>+D31</f>
        <v>1.3753</v>
      </c>
      <c r="M31" s="66">
        <f>+J31*K31*L31*3</f>
        <v>206.29500000000002</v>
      </c>
      <c r="N31" s="64">
        <v>1</v>
      </c>
      <c r="O31" s="76">
        <f>+K31</f>
        <v>50</v>
      </c>
      <c r="P31" s="67">
        <f>+D31</f>
        <v>1.3753</v>
      </c>
      <c r="Q31" s="66">
        <f>+N31*O31*P31*3</f>
        <v>206.29500000000002</v>
      </c>
      <c r="R31" s="85">
        <f>(+N31+J31+F31+B31)/4</f>
        <v>1</v>
      </c>
      <c r="S31" s="81">
        <f>+Q31+M31+I31+E31</f>
        <v>825.18000000000006</v>
      </c>
      <c r="T31" s="66">
        <f>+S31/$T$7</f>
        <v>223.02162162162162</v>
      </c>
    </row>
    <row r="32" spans="1:22">
      <c r="A32" s="27" t="s">
        <v>78</v>
      </c>
      <c r="B32" s="97">
        <v>2</v>
      </c>
      <c r="C32" s="99">
        <v>50</v>
      </c>
      <c r="D32" s="67">
        <f>+$U$17</f>
        <v>1.3753</v>
      </c>
      <c r="E32" s="66">
        <f>+B32*C32*D32*3</f>
        <v>412.59000000000003</v>
      </c>
      <c r="F32" s="64">
        <v>2</v>
      </c>
      <c r="G32" s="76">
        <f t="shared" si="0"/>
        <v>50</v>
      </c>
      <c r="H32" s="67">
        <f t="shared" si="0"/>
        <v>1.3753</v>
      </c>
      <c r="I32" s="66">
        <f>+F32*G32*H32*3</f>
        <v>412.59000000000003</v>
      </c>
      <c r="J32" s="64">
        <v>2</v>
      </c>
      <c r="K32" s="76">
        <v>50</v>
      </c>
      <c r="L32" s="67">
        <f>+D32</f>
        <v>1.3753</v>
      </c>
      <c r="M32" s="66">
        <f>+J32*K32*L32*3</f>
        <v>412.59000000000003</v>
      </c>
      <c r="N32" s="64">
        <v>2</v>
      </c>
      <c r="O32" s="76">
        <f>+K32</f>
        <v>50</v>
      </c>
      <c r="P32" s="67">
        <f>+D32</f>
        <v>1.3753</v>
      </c>
      <c r="Q32" s="66">
        <f>+N32*O32*P32*3</f>
        <v>412.59000000000003</v>
      </c>
      <c r="R32" s="85">
        <f>(+N32+J32+F32+B32)/4</f>
        <v>2</v>
      </c>
      <c r="S32" s="81">
        <f>+Q32+M32+I32+E32</f>
        <v>1650.3600000000001</v>
      </c>
      <c r="T32" s="66">
        <f>+S32/$T$7</f>
        <v>446.04324324324324</v>
      </c>
    </row>
    <row r="33" spans="1:20">
      <c r="A33" t="s">
        <v>69</v>
      </c>
      <c r="B33" s="64">
        <v>9</v>
      </c>
      <c r="C33" s="76">
        <v>23</v>
      </c>
      <c r="D33" s="67">
        <f>+U17</f>
        <v>1.3753</v>
      </c>
      <c r="E33" s="66">
        <f>+B33*C33*D33*3</f>
        <v>854.06129999999996</v>
      </c>
      <c r="F33" s="64">
        <v>9</v>
      </c>
      <c r="G33" s="76">
        <f t="shared" si="0"/>
        <v>23</v>
      </c>
      <c r="H33" s="67">
        <f t="shared" si="0"/>
        <v>1.3753</v>
      </c>
      <c r="I33" s="66">
        <f>+F33*G33*H33*3</f>
        <v>854.06129999999996</v>
      </c>
      <c r="J33" s="64">
        <v>10</v>
      </c>
      <c r="K33" s="76">
        <f>+G33</f>
        <v>23</v>
      </c>
      <c r="L33" s="67">
        <f>+D33</f>
        <v>1.3753</v>
      </c>
      <c r="M33" s="66">
        <f>+J33*K33*L33*3</f>
        <v>948.95700000000011</v>
      </c>
      <c r="N33" s="64">
        <v>10</v>
      </c>
      <c r="O33" s="76">
        <f>+K33</f>
        <v>23</v>
      </c>
      <c r="P33" s="67">
        <f>+D33</f>
        <v>1.3753</v>
      </c>
      <c r="Q33" s="66">
        <f>+N33*O33*P33*3</f>
        <v>948.95700000000011</v>
      </c>
      <c r="R33" s="85">
        <f>(+N33+J33+F33+B33)/4</f>
        <v>9.5</v>
      </c>
      <c r="S33" s="81">
        <f>+Q33+M33+I33+E33</f>
        <v>3606.0365999999999</v>
      </c>
      <c r="T33" s="66">
        <f>+S33/$T$7</f>
        <v>974.60448648648639</v>
      </c>
    </row>
    <row r="34" spans="1:20">
      <c r="A34" t="s">
        <v>68</v>
      </c>
      <c r="B34" s="75">
        <v>20</v>
      </c>
      <c r="C34" s="76">
        <v>22</v>
      </c>
      <c r="D34" s="67">
        <f>+U18</f>
        <v>1.3003</v>
      </c>
      <c r="E34" s="77">
        <f>+B34*C34*D34*3</f>
        <v>1716.3960000000002</v>
      </c>
      <c r="F34" s="75">
        <v>22</v>
      </c>
      <c r="G34" s="76">
        <v>22</v>
      </c>
      <c r="H34" s="67">
        <f>+D34</f>
        <v>1.3003</v>
      </c>
      <c r="I34" s="77">
        <f>+F34*G34*H34*3</f>
        <v>1888.0355999999999</v>
      </c>
      <c r="J34" s="75">
        <v>25</v>
      </c>
      <c r="K34" s="76">
        <v>22</v>
      </c>
      <c r="L34" s="67">
        <f>+D34</f>
        <v>1.3003</v>
      </c>
      <c r="M34" s="77">
        <f>+J34*K34*L34*3</f>
        <v>2145.4949999999999</v>
      </c>
      <c r="N34" s="75">
        <v>28</v>
      </c>
      <c r="O34" s="76">
        <v>22</v>
      </c>
      <c r="P34" s="67">
        <f>+D34</f>
        <v>1.3003</v>
      </c>
      <c r="Q34" s="77">
        <f>+N34*O34*P34*3</f>
        <v>2402.9543999999996</v>
      </c>
      <c r="R34" s="86">
        <f>(+N34+J34+F34+B34)/4</f>
        <v>23.75</v>
      </c>
      <c r="S34" s="78">
        <f>+Q34+M34+I34+E34</f>
        <v>8152.8809999999994</v>
      </c>
      <c r="T34" s="77">
        <f>+S34/$T$7</f>
        <v>2203.4813513513509</v>
      </c>
    </row>
    <row r="35" spans="1:20">
      <c r="B35" s="64">
        <f>SUM(B31:B34)</f>
        <v>32</v>
      </c>
      <c r="C35" s="26"/>
      <c r="D35" s="26"/>
      <c r="E35" s="68">
        <f>SUM(E31:E34)</f>
        <v>3189.3423000000003</v>
      </c>
      <c r="F35" s="64">
        <f>SUM(F31:F34)</f>
        <v>34</v>
      </c>
      <c r="G35" s="26"/>
      <c r="H35" s="26"/>
      <c r="I35" s="68">
        <f>SUM(I31:I34)</f>
        <v>3360.9818999999998</v>
      </c>
      <c r="J35" s="64">
        <f>SUM(J31:J34)</f>
        <v>38</v>
      </c>
      <c r="K35" s="26"/>
      <c r="L35" s="26"/>
      <c r="M35" s="68">
        <f>SUM(M31:M34)</f>
        <v>3713.337</v>
      </c>
      <c r="N35" s="64">
        <f>SUM(N31:N34)</f>
        <v>41</v>
      </c>
      <c r="O35" s="26"/>
      <c r="P35" s="26"/>
      <c r="Q35" s="68">
        <f>SUM(Q31:Q34)</f>
        <v>3970.7963999999997</v>
      </c>
      <c r="R35" s="85">
        <f>SUM(R31:R34)</f>
        <v>36.25</v>
      </c>
      <c r="S35" s="81">
        <f>SUM(S31:S34)</f>
        <v>14234.4576</v>
      </c>
      <c r="T35" s="66">
        <f>SUM(T31:T34)</f>
        <v>3847.1507027027019</v>
      </c>
    </row>
    <row r="36" spans="1:20">
      <c r="A36" s="31" t="s">
        <v>33</v>
      </c>
      <c r="B36" s="64"/>
      <c r="C36" s="26"/>
      <c r="D36" s="26"/>
      <c r="E36" s="65"/>
      <c r="F36" s="64"/>
      <c r="G36" s="26"/>
      <c r="H36" s="26"/>
      <c r="I36" s="65"/>
      <c r="J36" s="64"/>
      <c r="K36" s="26"/>
      <c r="L36" s="26"/>
      <c r="M36" s="65"/>
      <c r="N36" s="64"/>
      <c r="O36" s="26"/>
      <c r="P36" s="26"/>
      <c r="Q36" s="65"/>
      <c r="R36" s="85"/>
      <c r="S36" s="26"/>
      <c r="T36" s="65"/>
    </row>
    <row r="37" spans="1:20">
      <c r="A37" t="s">
        <v>60</v>
      </c>
      <c r="B37" s="64">
        <v>1</v>
      </c>
      <c r="C37" s="76">
        <v>30</v>
      </c>
      <c r="D37" s="79">
        <f>+$U$17</f>
        <v>1.3753</v>
      </c>
      <c r="E37" s="66">
        <f>+B37*C37*D37*3</f>
        <v>123.777</v>
      </c>
      <c r="F37" s="64">
        <v>1</v>
      </c>
      <c r="G37" s="76">
        <v>30</v>
      </c>
      <c r="H37" s="79">
        <f>+$U$17</f>
        <v>1.3753</v>
      </c>
      <c r="I37" s="66">
        <f>+F37*G37*H37*3</f>
        <v>123.777</v>
      </c>
      <c r="J37" s="64">
        <v>1</v>
      </c>
      <c r="K37" s="76">
        <v>30</v>
      </c>
      <c r="L37" s="79">
        <f>+$U$17</f>
        <v>1.3753</v>
      </c>
      <c r="M37" s="66">
        <f>+J37*K37*L37*3</f>
        <v>123.777</v>
      </c>
      <c r="N37" s="64">
        <v>1</v>
      </c>
      <c r="O37" s="76">
        <v>30</v>
      </c>
      <c r="P37" s="79">
        <f>+$U$17</f>
        <v>1.3753</v>
      </c>
      <c r="Q37" s="66">
        <f>+N37*O37*P37*3</f>
        <v>123.777</v>
      </c>
      <c r="R37" s="85">
        <f>(+N37+J37+F37+B37)/4</f>
        <v>1</v>
      </c>
      <c r="S37" s="81">
        <f>+Q37+M37+I37+E37</f>
        <v>495.108</v>
      </c>
      <c r="T37" s="66">
        <f>+S37/$T$7</f>
        <v>133.81297297297297</v>
      </c>
    </row>
    <row r="38" spans="1:20">
      <c r="A38" t="s">
        <v>33</v>
      </c>
      <c r="B38" s="75">
        <v>11</v>
      </c>
      <c r="C38" s="76">
        <v>8</v>
      </c>
      <c r="D38" s="79">
        <f>+$U$18</f>
        <v>1.3003</v>
      </c>
      <c r="E38" s="66">
        <f>+B38*C38*D38*3</f>
        <v>343.2792</v>
      </c>
      <c r="F38" s="75">
        <v>12</v>
      </c>
      <c r="G38" s="76">
        <v>8</v>
      </c>
      <c r="H38" s="79">
        <f>+$U$18</f>
        <v>1.3003</v>
      </c>
      <c r="I38" s="66">
        <f>+F38*G38*H38*3</f>
        <v>374.4864</v>
      </c>
      <c r="J38" s="75">
        <v>13</v>
      </c>
      <c r="K38" s="76">
        <v>8</v>
      </c>
      <c r="L38" s="79">
        <f>+$U$18</f>
        <v>1.3003</v>
      </c>
      <c r="M38" s="66">
        <f>+J38*K38*L38*3</f>
        <v>405.6936</v>
      </c>
      <c r="N38" s="75">
        <v>14</v>
      </c>
      <c r="O38" s="76">
        <v>8</v>
      </c>
      <c r="P38" s="79">
        <f>+$U$18</f>
        <v>1.3003</v>
      </c>
      <c r="Q38" s="66">
        <f>+N38*O38*P38*3</f>
        <v>436.9008</v>
      </c>
      <c r="R38" s="86">
        <f>(+N38+J38+F38+B38)/4</f>
        <v>12.5</v>
      </c>
      <c r="S38" s="81">
        <f>+Q38+M38+I38+E38</f>
        <v>1560.36</v>
      </c>
      <c r="T38" s="66">
        <f>+S38/$T$7</f>
        <v>421.71891891891886</v>
      </c>
    </row>
    <row r="39" spans="1:20">
      <c r="B39" s="64">
        <f>SUM(B36:B38)</f>
        <v>12</v>
      </c>
      <c r="C39" s="26"/>
      <c r="D39" s="26"/>
      <c r="E39" s="80">
        <f>SUM(E37:E38)</f>
        <v>467.05619999999999</v>
      </c>
      <c r="F39" s="64">
        <f>SUM(F36:F38)</f>
        <v>13</v>
      </c>
      <c r="G39" s="26"/>
      <c r="H39" s="26"/>
      <c r="I39" s="80">
        <f>SUM(I37:I38)</f>
        <v>498.26339999999999</v>
      </c>
      <c r="J39" s="64">
        <f>SUM(J36:J38)</f>
        <v>14</v>
      </c>
      <c r="K39" s="26"/>
      <c r="L39" s="26"/>
      <c r="M39" s="80">
        <f>SUM(M37:M38)</f>
        <v>529.47059999999999</v>
      </c>
      <c r="N39" s="64">
        <f>SUM(N36:N38)</f>
        <v>15</v>
      </c>
      <c r="O39" s="26"/>
      <c r="P39" s="26"/>
      <c r="Q39" s="80">
        <f>SUM(Q37:Q38)</f>
        <v>560.67780000000005</v>
      </c>
      <c r="R39" s="85">
        <f>SUM(R37:R38)</f>
        <v>13.5</v>
      </c>
      <c r="S39" s="26"/>
      <c r="T39" s="80">
        <f>SUM(T37:T38)</f>
        <v>555.53189189189186</v>
      </c>
    </row>
    <row r="40" spans="1:20">
      <c r="B40" s="64"/>
      <c r="C40" s="26"/>
      <c r="D40" s="26"/>
      <c r="E40" s="65"/>
      <c r="F40" s="64"/>
      <c r="G40" s="26"/>
      <c r="H40" s="26"/>
      <c r="I40" s="65"/>
      <c r="J40" s="64"/>
      <c r="K40" s="26"/>
      <c r="L40" s="26"/>
      <c r="M40" s="65"/>
      <c r="N40" s="64"/>
      <c r="O40" s="26"/>
      <c r="P40" s="26"/>
      <c r="Q40" s="65"/>
      <c r="R40" s="64"/>
      <c r="S40" s="26"/>
      <c r="T40" s="65"/>
    </row>
    <row r="41" spans="1:20">
      <c r="A41" s="31" t="s">
        <v>67</v>
      </c>
      <c r="B41" s="64"/>
      <c r="C41" s="26"/>
      <c r="D41" s="26"/>
      <c r="E41" s="65"/>
      <c r="F41" s="64"/>
      <c r="G41" s="26"/>
      <c r="H41" s="26"/>
      <c r="I41" s="65"/>
      <c r="J41" s="64"/>
      <c r="K41" s="26"/>
      <c r="L41" s="26"/>
      <c r="M41" s="65"/>
      <c r="N41" s="64"/>
      <c r="O41" s="26"/>
      <c r="P41" s="26"/>
      <c r="Q41" s="65"/>
      <c r="R41" s="64"/>
      <c r="S41" s="26"/>
      <c r="T41" s="65"/>
    </row>
    <row r="42" spans="1:20">
      <c r="A42" t="s">
        <v>41</v>
      </c>
      <c r="B42" s="64">
        <v>2</v>
      </c>
      <c r="C42" s="76">
        <v>50</v>
      </c>
      <c r="D42" s="67">
        <f>+U17</f>
        <v>1.3753</v>
      </c>
      <c r="E42" s="66">
        <f t="shared" ref="E42:E49" si="1">+B42*C42*D42*3</f>
        <v>412.59000000000003</v>
      </c>
      <c r="F42" s="64">
        <v>2</v>
      </c>
      <c r="G42" s="76">
        <f t="shared" ref="G42:H49" si="2">+C42</f>
        <v>50</v>
      </c>
      <c r="H42" s="67">
        <f t="shared" si="2"/>
        <v>1.3753</v>
      </c>
      <c r="I42" s="66">
        <f t="shared" ref="I42:I49" si="3">+F42*G42*H42*3</f>
        <v>412.59000000000003</v>
      </c>
      <c r="J42" s="64">
        <v>2</v>
      </c>
      <c r="K42" s="76">
        <f>+G42</f>
        <v>50</v>
      </c>
      <c r="L42" s="67">
        <f t="shared" ref="L42:L49" si="4">+D42</f>
        <v>1.3753</v>
      </c>
      <c r="M42" s="66">
        <f t="shared" ref="M42:M49" si="5">+J42*K42*L42*3</f>
        <v>412.59000000000003</v>
      </c>
      <c r="N42" s="64">
        <v>2</v>
      </c>
      <c r="O42" s="76">
        <f t="shared" ref="O42:O49" si="6">+K42</f>
        <v>50</v>
      </c>
      <c r="P42" s="67">
        <f t="shared" ref="P42:P49" si="7">+D42</f>
        <v>1.3753</v>
      </c>
      <c r="Q42" s="66">
        <f t="shared" ref="Q42:Q49" si="8">+N42*O42*P42*3</f>
        <v>412.59000000000003</v>
      </c>
      <c r="R42" s="85">
        <f t="shared" ref="R42:R49" si="9">(+N42+J42+F42+B42)/4</f>
        <v>2</v>
      </c>
      <c r="S42" s="81">
        <f t="shared" ref="S42:S49" si="10">+Q42+M42+I42+E42</f>
        <v>1650.3600000000001</v>
      </c>
      <c r="T42" s="66">
        <f t="shared" ref="T42:T49" si="11">+S42/$T$7</f>
        <v>446.04324324324324</v>
      </c>
    </row>
    <row r="43" spans="1:20">
      <c r="A43" t="s">
        <v>42</v>
      </c>
      <c r="B43" s="64">
        <v>1</v>
      </c>
      <c r="C43" s="76">
        <v>27</v>
      </c>
      <c r="D43" s="67">
        <f>+U17</f>
        <v>1.3753</v>
      </c>
      <c r="E43" s="66">
        <f t="shared" si="1"/>
        <v>111.3993</v>
      </c>
      <c r="F43" s="64">
        <v>1</v>
      </c>
      <c r="G43" s="76">
        <f t="shared" si="2"/>
        <v>27</v>
      </c>
      <c r="H43" s="67">
        <f t="shared" si="2"/>
        <v>1.3753</v>
      </c>
      <c r="I43" s="66">
        <f t="shared" si="3"/>
        <v>111.3993</v>
      </c>
      <c r="J43" s="64">
        <v>1</v>
      </c>
      <c r="K43" s="76">
        <f t="shared" ref="K43:K49" si="12">+G43</f>
        <v>27</v>
      </c>
      <c r="L43" s="67">
        <f t="shared" si="4"/>
        <v>1.3753</v>
      </c>
      <c r="M43" s="66">
        <f t="shared" si="5"/>
        <v>111.3993</v>
      </c>
      <c r="N43" s="64">
        <v>1</v>
      </c>
      <c r="O43" s="76">
        <f t="shared" si="6"/>
        <v>27</v>
      </c>
      <c r="P43" s="67">
        <f t="shared" si="7"/>
        <v>1.3753</v>
      </c>
      <c r="Q43" s="66">
        <f t="shared" si="8"/>
        <v>111.3993</v>
      </c>
      <c r="R43" s="85">
        <f t="shared" si="9"/>
        <v>1</v>
      </c>
      <c r="S43" s="81">
        <f t="shared" si="10"/>
        <v>445.59719999999999</v>
      </c>
      <c r="T43" s="66">
        <f t="shared" si="11"/>
        <v>120.43167567567566</v>
      </c>
    </row>
    <row r="44" spans="1:20">
      <c r="A44" t="s">
        <v>63</v>
      </c>
      <c r="B44" s="64">
        <v>1</v>
      </c>
      <c r="C44" s="76">
        <v>28</v>
      </c>
      <c r="D44" s="67">
        <f>+U18</f>
        <v>1.3003</v>
      </c>
      <c r="E44" s="66">
        <f>+B44*C44*D44*3</f>
        <v>109.2252</v>
      </c>
      <c r="F44" s="64">
        <v>1</v>
      </c>
      <c r="G44" s="76">
        <f>+C44</f>
        <v>28</v>
      </c>
      <c r="H44" s="67">
        <f>+D44</f>
        <v>1.3003</v>
      </c>
      <c r="I44" s="66">
        <f>+F44*G44*H44*3</f>
        <v>109.2252</v>
      </c>
      <c r="J44" s="64">
        <v>1</v>
      </c>
      <c r="K44" s="76">
        <f>+G44</f>
        <v>28</v>
      </c>
      <c r="L44" s="67">
        <f>+D44</f>
        <v>1.3003</v>
      </c>
      <c r="M44" s="66">
        <f>+J44*K44*L44*3</f>
        <v>109.2252</v>
      </c>
      <c r="N44" s="64">
        <v>1</v>
      </c>
      <c r="O44" s="76">
        <f>+K44</f>
        <v>28</v>
      </c>
      <c r="P44" s="67">
        <f>+D44</f>
        <v>1.3003</v>
      </c>
      <c r="Q44" s="66">
        <f>+N44*O44*P44*3</f>
        <v>109.2252</v>
      </c>
      <c r="R44" s="85">
        <f>(+N44+J44+F44+B44)/4</f>
        <v>1</v>
      </c>
      <c r="S44" s="81">
        <f>+Q44+M44+I44+E44</f>
        <v>436.9008</v>
      </c>
      <c r="T44" s="66">
        <f t="shared" si="11"/>
        <v>118.0812972972973</v>
      </c>
    </row>
    <row r="45" spans="1:20">
      <c r="A45" t="s">
        <v>43</v>
      </c>
      <c r="B45" s="64">
        <v>5</v>
      </c>
      <c r="C45" s="76">
        <v>10</v>
      </c>
      <c r="D45" s="67">
        <f>+U18</f>
        <v>1.3003</v>
      </c>
      <c r="E45" s="66">
        <f t="shared" si="1"/>
        <v>195.04500000000002</v>
      </c>
      <c r="F45" s="64">
        <v>5</v>
      </c>
      <c r="G45" s="76">
        <f t="shared" si="2"/>
        <v>10</v>
      </c>
      <c r="H45" s="67">
        <f t="shared" si="2"/>
        <v>1.3003</v>
      </c>
      <c r="I45" s="66">
        <f t="shared" si="3"/>
        <v>195.04500000000002</v>
      </c>
      <c r="J45" s="64">
        <v>5</v>
      </c>
      <c r="K45" s="76">
        <f t="shared" si="12"/>
        <v>10</v>
      </c>
      <c r="L45" s="67">
        <f t="shared" si="4"/>
        <v>1.3003</v>
      </c>
      <c r="M45" s="66">
        <f t="shared" si="5"/>
        <v>195.04500000000002</v>
      </c>
      <c r="N45" s="64">
        <v>6</v>
      </c>
      <c r="O45" s="76">
        <f t="shared" si="6"/>
        <v>10</v>
      </c>
      <c r="P45" s="67">
        <f t="shared" si="7"/>
        <v>1.3003</v>
      </c>
      <c r="Q45" s="66">
        <f t="shared" si="8"/>
        <v>234.054</v>
      </c>
      <c r="R45" s="85">
        <f t="shared" si="9"/>
        <v>5.25</v>
      </c>
      <c r="S45" s="81">
        <f t="shared" si="10"/>
        <v>819.18900000000008</v>
      </c>
      <c r="T45" s="66">
        <f t="shared" si="11"/>
        <v>221.40243243243245</v>
      </c>
    </row>
    <row r="46" spans="1:20">
      <c r="A46" t="s">
        <v>62</v>
      </c>
      <c r="B46" s="64">
        <v>2</v>
      </c>
      <c r="C46" s="76">
        <v>10</v>
      </c>
      <c r="D46" s="67">
        <f>+U17</f>
        <v>1.3753</v>
      </c>
      <c r="E46" s="66">
        <f>+B46*C46*D46*3</f>
        <v>82.518000000000001</v>
      </c>
      <c r="F46" s="64">
        <v>2</v>
      </c>
      <c r="G46" s="76">
        <f>+C46</f>
        <v>10</v>
      </c>
      <c r="H46" s="67">
        <f>+D46</f>
        <v>1.3753</v>
      </c>
      <c r="I46" s="66">
        <f>+F46*G46*H46*3</f>
        <v>82.518000000000001</v>
      </c>
      <c r="J46" s="64">
        <v>2</v>
      </c>
      <c r="K46" s="76">
        <f>+G46</f>
        <v>10</v>
      </c>
      <c r="L46" s="67">
        <f>+D46</f>
        <v>1.3753</v>
      </c>
      <c r="M46" s="66">
        <f>+J46*K46*L46*3</f>
        <v>82.518000000000001</v>
      </c>
      <c r="N46" s="64">
        <v>2</v>
      </c>
      <c r="O46" s="76">
        <f>+K46</f>
        <v>10</v>
      </c>
      <c r="P46" s="67">
        <f>+D46</f>
        <v>1.3753</v>
      </c>
      <c r="Q46" s="66">
        <f>+N46*O46*P46*3</f>
        <v>82.518000000000001</v>
      </c>
      <c r="R46" s="85">
        <f>(+N46+J46+F46+B46)/4</f>
        <v>2</v>
      </c>
      <c r="S46" s="81">
        <f>+Q46+M46+I46+E46</f>
        <v>330.072</v>
      </c>
      <c r="T46" s="66">
        <f t="shared" si="11"/>
        <v>89.208648648648648</v>
      </c>
    </row>
    <row r="47" spans="1:20">
      <c r="A47" t="s">
        <v>64</v>
      </c>
      <c r="B47" s="64">
        <v>2</v>
      </c>
      <c r="C47" s="76">
        <v>15</v>
      </c>
      <c r="D47" s="67">
        <f>+U17</f>
        <v>1.3753</v>
      </c>
      <c r="E47" s="66">
        <f>+B47*C47*D47*3</f>
        <v>123.777</v>
      </c>
      <c r="F47" s="64">
        <v>2</v>
      </c>
      <c r="G47" s="76">
        <f>+C47</f>
        <v>15</v>
      </c>
      <c r="H47" s="67">
        <f>+D47</f>
        <v>1.3753</v>
      </c>
      <c r="I47" s="66">
        <f>+F47*G47*H47*3</f>
        <v>123.777</v>
      </c>
      <c r="J47" s="64">
        <v>2</v>
      </c>
      <c r="K47" s="76">
        <f>+G47</f>
        <v>15</v>
      </c>
      <c r="L47" s="67">
        <f>+D47</f>
        <v>1.3753</v>
      </c>
      <c r="M47" s="66">
        <f>+J47*K47*L47*3</f>
        <v>123.777</v>
      </c>
      <c r="N47" s="64">
        <v>2</v>
      </c>
      <c r="O47" s="76">
        <f>+K47</f>
        <v>15</v>
      </c>
      <c r="P47" s="67">
        <f>+D47</f>
        <v>1.3753</v>
      </c>
      <c r="Q47" s="66">
        <f>+N47*O47*P47*3</f>
        <v>123.777</v>
      </c>
      <c r="R47" s="85">
        <f>(+N47+J47+F47+B47)/4</f>
        <v>2</v>
      </c>
      <c r="S47" s="81">
        <f>+Q47+M47+I47+E47</f>
        <v>495.108</v>
      </c>
      <c r="T47" s="66">
        <f t="shared" si="11"/>
        <v>133.81297297297297</v>
      </c>
    </row>
    <row r="48" spans="1:20">
      <c r="A48" t="s">
        <v>44</v>
      </c>
      <c r="B48" s="64">
        <v>3</v>
      </c>
      <c r="C48" s="76">
        <v>9.5</v>
      </c>
      <c r="D48" s="67">
        <f>+U18</f>
        <v>1.3003</v>
      </c>
      <c r="E48" s="66">
        <f t="shared" si="1"/>
        <v>111.17564999999999</v>
      </c>
      <c r="F48" s="64">
        <v>3</v>
      </c>
      <c r="G48" s="76">
        <f t="shared" si="2"/>
        <v>9.5</v>
      </c>
      <c r="H48" s="67">
        <f t="shared" si="2"/>
        <v>1.3003</v>
      </c>
      <c r="I48" s="66">
        <f t="shared" si="3"/>
        <v>111.17564999999999</v>
      </c>
      <c r="J48" s="64">
        <v>3</v>
      </c>
      <c r="K48" s="76">
        <f t="shared" si="12"/>
        <v>9.5</v>
      </c>
      <c r="L48" s="67">
        <f t="shared" si="4"/>
        <v>1.3003</v>
      </c>
      <c r="M48" s="66">
        <f t="shared" si="5"/>
        <v>111.17564999999999</v>
      </c>
      <c r="N48" s="64">
        <v>3</v>
      </c>
      <c r="O48" s="76">
        <f t="shared" si="6"/>
        <v>9.5</v>
      </c>
      <c r="P48" s="67">
        <f t="shared" si="7"/>
        <v>1.3003</v>
      </c>
      <c r="Q48" s="66">
        <f t="shared" si="8"/>
        <v>111.17564999999999</v>
      </c>
      <c r="R48" s="85">
        <f t="shared" si="9"/>
        <v>3</v>
      </c>
      <c r="S48" s="81">
        <f t="shared" si="10"/>
        <v>444.70259999999996</v>
      </c>
      <c r="T48" s="66">
        <f t="shared" si="11"/>
        <v>120.18989189189188</v>
      </c>
    </row>
    <row r="49" spans="1:20">
      <c r="A49" t="s">
        <v>45</v>
      </c>
      <c r="B49" s="75">
        <v>1</v>
      </c>
      <c r="C49" s="76">
        <v>8</v>
      </c>
      <c r="D49" s="67">
        <f>+U18</f>
        <v>1.3003</v>
      </c>
      <c r="E49" s="77">
        <f t="shared" si="1"/>
        <v>31.2072</v>
      </c>
      <c r="F49" s="75">
        <v>1</v>
      </c>
      <c r="G49" s="76">
        <f t="shared" si="2"/>
        <v>8</v>
      </c>
      <c r="H49" s="67">
        <f t="shared" si="2"/>
        <v>1.3003</v>
      </c>
      <c r="I49" s="77">
        <f t="shared" si="3"/>
        <v>31.2072</v>
      </c>
      <c r="J49" s="75">
        <v>1</v>
      </c>
      <c r="K49" s="76">
        <f t="shared" si="12"/>
        <v>8</v>
      </c>
      <c r="L49" s="67">
        <f t="shared" si="4"/>
        <v>1.3003</v>
      </c>
      <c r="M49" s="77">
        <f t="shared" si="5"/>
        <v>31.2072</v>
      </c>
      <c r="N49" s="75">
        <v>1</v>
      </c>
      <c r="O49" s="76">
        <f t="shared" si="6"/>
        <v>8</v>
      </c>
      <c r="P49" s="67">
        <f t="shared" si="7"/>
        <v>1.3003</v>
      </c>
      <c r="Q49" s="77">
        <f t="shared" si="8"/>
        <v>31.2072</v>
      </c>
      <c r="R49" s="86">
        <f t="shared" si="9"/>
        <v>1</v>
      </c>
      <c r="S49" s="81">
        <f t="shared" si="10"/>
        <v>124.8288</v>
      </c>
      <c r="T49" s="77">
        <f t="shared" si="11"/>
        <v>33.737513513513512</v>
      </c>
    </row>
    <row r="50" spans="1:20" ht="13.5" thickBot="1">
      <c r="B50" s="87">
        <f>SUM(B42:B49)</f>
        <v>17</v>
      </c>
      <c r="C50" s="69"/>
      <c r="D50" s="69"/>
      <c r="E50" s="88">
        <f>SUM(E42:E49)</f>
        <v>1176.9373500000002</v>
      </c>
      <c r="F50" s="87">
        <f>SUM(F42:F49)</f>
        <v>17</v>
      </c>
      <c r="G50" s="69"/>
      <c r="H50" s="69"/>
      <c r="I50" s="88">
        <f>SUM(I42:I49)</f>
        <v>1176.9373500000002</v>
      </c>
      <c r="J50" s="87">
        <f>SUM(J42:J49)</f>
        <v>17</v>
      </c>
      <c r="K50" s="69"/>
      <c r="L50" s="69"/>
      <c r="M50" s="88">
        <f>SUM(M42:M49)</f>
        <v>1176.9373500000002</v>
      </c>
      <c r="N50" s="87">
        <f>SUM(N42:N49)</f>
        <v>18</v>
      </c>
      <c r="O50" s="69"/>
      <c r="P50" s="69"/>
      <c r="Q50" s="88">
        <f>SUM(Q42:Q49)</f>
        <v>1215.9463499999999</v>
      </c>
      <c r="R50" s="87">
        <f>SUM(R42:R49)</f>
        <v>17.25</v>
      </c>
      <c r="S50" s="69"/>
      <c r="T50" s="88">
        <f>SUM(T42:T49)</f>
        <v>1282.9076756756756</v>
      </c>
    </row>
    <row r="51" spans="1:20">
      <c r="B51" s="4">
        <f>+B50+B39+B35+B28+B23+B17+B12</f>
        <v>103</v>
      </c>
      <c r="F51" s="4">
        <f>+F50+F39+F35+F28+F23+F17+F12</f>
        <v>111</v>
      </c>
      <c r="J51" s="4">
        <f>+J50+J39+J35+J28+J23+J17+J12</f>
        <v>122</v>
      </c>
      <c r="N51" s="4">
        <f>+N50+N39+N35+N28+N23+N17+N12</f>
        <v>133</v>
      </c>
      <c r="R51" s="4">
        <f>+R50+R39+R35+R28+R23+R17+R12</f>
        <v>117.25</v>
      </c>
      <c r="T51" s="4">
        <f>+T50+T39+T35+T28+T23+T17+T12</f>
        <v>7571.63177027027</v>
      </c>
    </row>
  </sheetData>
  <mergeCells count="6">
    <mergeCell ref="R4:T4"/>
    <mergeCell ref="B3:Q3"/>
    <mergeCell ref="B4:E4"/>
    <mergeCell ref="F4:I4"/>
    <mergeCell ref="J4:M4"/>
    <mergeCell ref="N4:Q4"/>
  </mergeCells>
  <pageMargins left="0.7" right="0.7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A33409564DA64194EE1E39DABEBFEE" ma:contentTypeVersion="0" ma:contentTypeDescription="Create a new document." ma:contentTypeScope="" ma:versionID="6c8d4ac484ff9d5bc41909cc5a8cc2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D34D9-F1E2-4C86-9824-A6F0CFF4DD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ED3AF6-0A7C-4DEF-8249-65C31F979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B9E46-6FCA-4573-8C61-D3933C95366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Opening</vt:lpstr>
      <vt:lpstr>Highlights</vt:lpstr>
      <vt:lpstr>P&amp;L</vt:lpstr>
      <vt:lpstr>Cash Flow</vt:lpstr>
      <vt:lpstr>KPI</vt:lpstr>
      <vt:lpstr>Sales</vt:lpstr>
      <vt:lpstr>Payroll</vt:lpstr>
      <vt:lpstr>Overhead</vt:lpstr>
      <vt:lpstr>Sales &amp; Marketing</vt:lpstr>
      <vt:lpstr>Sales.</vt:lpstr>
      <vt:lpstr>Sales summary</vt:lpstr>
      <vt:lpstr>Sales 2015</vt:lpstr>
      <vt:lpstr>Affiliate-Marketing  Plan-Juan</vt:lpstr>
      <vt:lpstr>Overhead CY</vt:lpstr>
      <vt:lpstr>HR Year 2</vt:lpstr>
      <vt:lpstr>Insurance</vt:lpstr>
      <vt:lpstr>Parameters</vt:lpstr>
      <vt:lpstr>CashFlow</vt:lpstr>
      <vt:lpstr>Detailed Sales 2012old</vt:lpstr>
      <vt:lpstr>Detailed Sales 2011</vt:lpstr>
      <vt:lpstr>Detailed Sales 2013</vt:lpstr>
      <vt:lpstr>HR2011</vt:lpstr>
      <vt:lpstr>HR2013</vt:lpstr>
      <vt:lpstr>'Affiliate-Marketing  Plan-Juan'!Print_Area</vt:lpstr>
      <vt:lpstr>CashFlow!Print_Area</vt:lpstr>
      <vt:lpstr>'Detailed Sales 2012old'!Print_Area</vt:lpstr>
      <vt:lpstr>Highlights!Print_Area</vt:lpstr>
      <vt:lpstr>'HR Year 2'!Print_Area</vt:lpstr>
      <vt:lpstr>Opening!Print_Area</vt:lpstr>
      <vt:lpstr>'Overhead CY'!Print_Area</vt:lpstr>
      <vt:lpstr>'P&amp;L'!Print_Area</vt:lpstr>
      <vt:lpstr>Parameters!Print_Area</vt:lpstr>
      <vt:lpstr>Payroll!Print_Area</vt:lpstr>
      <vt:lpstr>'Sales &amp; Marketing'!Print_Area</vt:lpstr>
      <vt:lpstr>'Sales 2015'!Print_Area</vt:lpstr>
      <vt:lpstr>'Sales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Forecast presented to Saxo</dc:title>
  <dc:creator>zohar.bar.chen</dc:creator>
  <cp:lastModifiedBy>ZoharB</cp:lastModifiedBy>
  <cp:lastPrinted>2018-03-28T09:39:34Z</cp:lastPrinted>
  <dcterms:created xsi:type="dcterms:W3CDTF">2010-09-27T07:51:45Z</dcterms:created>
  <dcterms:modified xsi:type="dcterms:W3CDTF">2022-04-19T15:39:08Z</dcterms:modified>
</cp:coreProperties>
</file>